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" windowWidth="12600" windowHeight="13260" tabRatio="597" activeTab="0"/>
  </bookViews>
  <sheets>
    <sheet name="Spielplan 1996" sheetId="1" r:id="rId1"/>
  </sheets>
  <definedNames/>
  <calcPr fullCalcOnLoad="1"/>
</workbook>
</file>

<file path=xl/sharedStrings.xml><?xml version="1.0" encoding="utf-8"?>
<sst xmlns="http://schemas.openxmlformats.org/spreadsheetml/2006/main" count="281" uniqueCount="78">
  <si>
    <t>Gruppe A</t>
  </si>
  <si>
    <t xml:space="preserve"> </t>
  </si>
  <si>
    <t>Tabelle</t>
  </si>
  <si>
    <t>P-</t>
  </si>
  <si>
    <t>T+</t>
  </si>
  <si>
    <t>T-</t>
  </si>
  <si>
    <t>T+/-</t>
  </si>
  <si>
    <t>G</t>
  </si>
  <si>
    <t>Berechnungen</t>
  </si>
  <si>
    <t>Spielort</t>
  </si>
  <si>
    <t>-</t>
  </si>
  <si>
    <t>:</t>
  </si>
  <si>
    <t>ok</t>
  </si>
  <si>
    <t>1A</t>
  </si>
  <si>
    <t>Gruppe B</t>
  </si>
  <si>
    <t>1B</t>
  </si>
  <si>
    <t>L1</t>
  </si>
  <si>
    <t>OK</t>
  </si>
  <si>
    <t>P</t>
  </si>
  <si>
    <t>L0</t>
  </si>
  <si>
    <t>DV</t>
  </si>
  <si>
    <t>S1</t>
  </si>
  <si>
    <t>DV-TD</t>
  </si>
  <si>
    <t>S2</t>
  </si>
  <si>
    <t>DV-Tore</t>
  </si>
  <si>
    <t>S3</t>
  </si>
  <si>
    <t>L4</t>
  </si>
  <si>
    <t>Datum/Zeit</t>
  </si>
  <si>
    <t>L0=AE hebelt Berechnung aus (top level Losen)</t>
  </si>
  <si>
    <t>L1=AK hebelt Direktvergleich (S1) aus</t>
  </si>
  <si>
    <t>L4=AV Losen UEFA-Koeffizient, Fairplay oder Münzwurf</t>
  </si>
  <si>
    <t>2A</t>
  </si>
  <si>
    <t>2B</t>
  </si>
  <si>
    <t>Finale</t>
  </si>
  <si>
    <t>Halbfinale</t>
  </si>
  <si>
    <t>F1</t>
  </si>
  <si>
    <t>F2</t>
  </si>
  <si>
    <t>HF1</t>
  </si>
  <si>
    <t>HF2</t>
  </si>
  <si>
    <t>England</t>
  </si>
  <si>
    <t>SP</t>
  </si>
  <si>
    <t>Vorrunde</t>
  </si>
  <si>
    <t>Schweiz</t>
  </si>
  <si>
    <t>Italien</t>
  </si>
  <si>
    <t>Deutschland</t>
  </si>
  <si>
    <t>Gruppe C</t>
  </si>
  <si>
    <t>Spanien</t>
  </si>
  <si>
    <t>1C</t>
  </si>
  <si>
    <t>2C</t>
  </si>
  <si>
    <t>Gruppe D</t>
  </si>
  <si>
    <t>Bulgarien</t>
  </si>
  <si>
    <t>1D</t>
  </si>
  <si>
    <t>2D</t>
  </si>
  <si>
    <t>Viertelfinale</t>
  </si>
  <si>
    <t>VF1</t>
  </si>
  <si>
    <t>VF2</t>
  </si>
  <si>
    <t>VF3</t>
  </si>
  <si>
    <t>VF4</t>
  </si>
  <si>
    <t>Niederlande</t>
  </si>
  <si>
    <t>Schottland</t>
  </si>
  <si>
    <t>Rumänien</t>
  </si>
  <si>
    <t>Frankreich</t>
  </si>
  <si>
    <t>Tschechien</t>
  </si>
  <si>
    <t>Russland</t>
  </si>
  <si>
    <t>Dänemark</t>
  </si>
  <si>
    <t>Portugal</t>
  </si>
  <si>
    <t>Türkei</t>
  </si>
  <si>
    <t>Kroatien</t>
  </si>
  <si>
    <t>London</t>
  </si>
  <si>
    <t>Birmingham</t>
  </si>
  <si>
    <t>Newcastle</t>
  </si>
  <si>
    <t>Leeds</t>
  </si>
  <si>
    <t>Manchester</t>
  </si>
  <si>
    <t>Liverpool</t>
  </si>
  <si>
    <t>Sheffield</t>
  </si>
  <si>
    <t>Nottingham</t>
  </si>
  <si>
    <t>dv</t>
  </si>
  <si>
    <t>Europameister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</si>
</sst>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\ h:mm"/>
    <numFmt numFmtId="173" formatCode="\+0;\-0"/>
    <numFmt numFmtId="174" formatCode="00"/>
    <numFmt numFmtId="175" formatCode="0.0%"/>
    <numFmt numFmtId="176" formatCode="#,##0.00_ ;\-#,##0.00\ "/>
    <numFmt numFmtId="177" formatCode="#,##0.0_ ;\-#,##0.0\ "/>
    <numFmt numFmtId="178" formatCode="#,##0_ ;\-#,##0\ "/>
    <numFmt numFmtId="179" formatCode="#,##0.00\ &quot;€&quot;"/>
    <numFmt numFmtId="180" formatCode="#,##0.00\ _€"/>
    <numFmt numFmtId="181" formatCode="dd/mm/yy;@"/>
    <numFmt numFmtId="182" formatCode="[$-407]dddd\,\ d\.\ mmmm\ yyyy"/>
    <numFmt numFmtId="183" formatCode="d/m/yy;@"/>
  </numFmts>
  <fonts count="10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10"/>
      <color indexed="17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22" fontId="0" fillId="0" borderId="0" xfId="0" applyNumberFormat="1" applyAlignment="1" applyProtection="1">
      <alignment horizontal="left"/>
      <protection/>
    </xf>
    <xf numFmtId="0" fontId="0" fillId="0" borderId="1" xfId="0" applyBorder="1" applyAlignment="1" applyProtection="1">
      <alignment horizontal="center"/>
      <protection locked="0"/>
    </xf>
    <xf numFmtId="22" fontId="0" fillId="0" borderId="0" xfId="0" applyNumberFormat="1" applyAlignment="1" applyProtection="1" quotePrefix="1">
      <alignment horizontal="left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2" xfId="0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/>
      <protection/>
    </xf>
    <xf numFmtId="0" fontId="1" fillId="0" borderId="0" xfId="0" applyFont="1" applyFill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1" fontId="0" fillId="0" borderId="0" xfId="0" applyNumberFormat="1" applyFill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/>
      <protection/>
    </xf>
    <xf numFmtId="0" fontId="0" fillId="0" borderId="2" xfId="0" applyFont="1" applyFill="1" applyBorder="1" applyAlignment="1" applyProtection="1">
      <alignment/>
      <protection locked="0"/>
    </xf>
    <xf numFmtId="1" fontId="1" fillId="0" borderId="0" xfId="0" applyNumberFormat="1" applyFon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1" fillId="0" borderId="1" xfId="0" applyFont="1" applyFill="1" applyBorder="1" applyAlignment="1" applyProtection="1">
      <alignment horizontal="center"/>
      <protection/>
    </xf>
    <xf numFmtId="0" fontId="1" fillId="0" borderId="3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0" fillId="0" borderId="5" xfId="0" applyBorder="1" applyAlignment="1" applyProtection="1">
      <alignment/>
      <protection/>
    </xf>
    <xf numFmtId="0" fontId="1" fillId="0" borderId="1" xfId="0" applyFont="1" applyBorder="1" applyAlignment="1" applyProtection="1">
      <alignment horizontal="center"/>
      <protection/>
    </xf>
    <xf numFmtId="0" fontId="0" fillId="0" borderId="6" xfId="0" applyBorder="1" applyAlignment="1" applyProtection="1">
      <alignment/>
      <protection/>
    </xf>
    <xf numFmtId="0" fontId="0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/>
    </xf>
    <xf numFmtId="0" fontId="1" fillId="0" borderId="4" xfId="0" applyFont="1" applyFill="1" applyBorder="1" applyAlignment="1" applyProtection="1">
      <alignment/>
      <protection locked="0"/>
    </xf>
    <xf numFmtId="0" fontId="2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  <xf numFmtId="0" fontId="4" fillId="3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 horizontal="left"/>
      <protection/>
    </xf>
    <xf numFmtId="0" fontId="0" fillId="4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/>
      <protection locked="0"/>
    </xf>
    <xf numFmtId="0" fontId="1" fillId="5" borderId="0" xfId="0" applyFont="1" applyFill="1" applyAlignment="1" applyProtection="1">
      <alignment horizontal="center"/>
      <protection/>
    </xf>
    <xf numFmtId="0" fontId="1" fillId="5" borderId="0" xfId="0" applyFont="1" applyFill="1" applyAlignment="1" applyProtection="1">
      <alignment horizontal="left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2" xfId="0" applyFont="1" applyFill="1" applyBorder="1" applyAlignment="1" applyProtection="1">
      <alignment horizontal="center"/>
      <protection locked="0"/>
    </xf>
    <xf numFmtId="0" fontId="1" fillId="5" borderId="0" xfId="0" applyFont="1" applyFill="1" applyAlignment="1" applyProtection="1">
      <alignment/>
      <protection/>
    </xf>
    <xf numFmtId="0" fontId="1" fillId="6" borderId="0" xfId="0" applyFont="1" applyFill="1" applyAlignment="1" applyProtection="1">
      <alignment horizontal="center"/>
      <protection/>
    </xf>
    <xf numFmtId="0" fontId="1" fillId="6" borderId="0" xfId="0" applyFont="1" applyFill="1" applyAlignment="1" applyProtection="1">
      <alignment horizontal="left"/>
      <protection/>
    </xf>
    <xf numFmtId="0" fontId="1" fillId="6" borderId="0" xfId="0" applyFont="1" applyFill="1" applyAlignment="1" applyProtection="1">
      <alignment/>
      <protection/>
    </xf>
    <xf numFmtId="0" fontId="1" fillId="7" borderId="0" xfId="0" applyFont="1" applyFill="1" applyAlignment="1" applyProtection="1">
      <alignment horizontal="center"/>
      <protection/>
    </xf>
    <xf numFmtId="0" fontId="1" fillId="7" borderId="0" xfId="0" applyFont="1" applyFill="1" applyAlignment="1" applyProtection="1">
      <alignment horizontal="left"/>
      <protection/>
    </xf>
    <xf numFmtId="0" fontId="1" fillId="7" borderId="0" xfId="0" applyFont="1" applyFill="1" applyAlignment="1" applyProtection="1">
      <alignment/>
      <protection/>
    </xf>
    <xf numFmtId="0" fontId="1" fillId="8" borderId="0" xfId="0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0" fillId="0" borderId="0" xfId="0" applyFill="1" applyAlignment="1">
      <alignment/>
    </xf>
    <xf numFmtId="0" fontId="6" fillId="3" borderId="0" xfId="0" applyFont="1" applyFill="1" applyAlignment="1" applyProtection="1">
      <alignment horizontal="left"/>
      <protection/>
    </xf>
    <xf numFmtId="1" fontId="0" fillId="0" borderId="0" xfId="0" applyNumberFormat="1" applyAlignment="1" applyProtection="1">
      <alignment horizontal="left"/>
      <protection/>
    </xf>
    <xf numFmtId="0" fontId="0" fillId="3" borderId="0" xfId="0" applyFont="1" applyFill="1" applyAlignment="1" applyProtection="1">
      <alignment horizontal="left"/>
      <protection/>
    </xf>
    <xf numFmtId="0" fontId="7" fillId="3" borderId="0" xfId="0" applyFont="1" applyFill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8" fillId="3" borderId="0" xfId="0" applyFont="1" applyFill="1" applyAlignment="1" applyProtection="1">
      <alignment horizontal="left"/>
      <protection/>
    </xf>
    <xf numFmtId="0" fontId="9" fillId="3" borderId="0" xfId="0" applyFont="1" applyFill="1" applyAlignment="1" applyProtection="1">
      <alignment horizontal="left"/>
      <protection/>
    </xf>
    <xf numFmtId="0" fontId="5" fillId="3" borderId="0" xfId="0" applyFont="1" applyFill="1" applyAlignment="1" applyProtection="1">
      <alignment horizontal="left"/>
      <protection/>
    </xf>
    <xf numFmtId="3" fontId="0" fillId="0" borderId="0" xfId="0" applyNumberForma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58"/>
  <sheetViews>
    <sheetView tabSelected="1" workbookViewId="0" topLeftCell="A10">
      <selection activeCell="H58" sqref="H58"/>
    </sheetView>
  </sheetViews>
  <sheetFormatPr defaultColWidth="11.421875" defaultRowHeight="12.75"/>
  <cols>
    <col min="1" max="1" width="3.57421875" style="2" customWidth="1"/>
    <col min="2" max="2" width="15.28125" style="2" customWidth="1"/>
    <col min="3" max="3" width="15.421875" style="2" customWidth="1"/>
    <col min="4" max="4" width="17.8515625" style="2" customWidth="1"/>
    <col min="5" max="5" width="2.00390625" style="2" customWidth="1"/>
    <col min="6" max="6" width="17.8515625" style="2" customWidth="1"/>
    <col min="7" max="7" width="1.57421875" style="2" customWidth="1"/>
    <col min="8" max="8" width="3.57421875" style="9" customWidth="1"/>
    <col min="9" max="9" width="1.57421875" style="9" customWidth="1"/>
    <col min="10" max="10" width="3.57421875" style="9" customWidth="1"/>
    <col min="11" max="11" width="3.00390625" style="7" customWidth="1"/>
    <col min="12" max="12" width="2.00390625" style="2" customWidth="1"/>
    <col min="13" max="13" width="17.8515625" style="27" customWidth="1"/>
    <col min="14" max="17" width="4.28125" style="2" customWidth="1"/>
    <col min="18" max="18" width="3.8515625" style="2" customWidth="1"/>
    <col min="19" max="21" width="2.00390625" style="25" hidden="1" customWidth="1"/>
    <col min="22" max="22" width="1.7109375" style="25" hidden="1" customWidth="1"/>
    <col min="23" max="23" width="2.421875" style="25" hidden="1" customWidth="1"/>
    <col min="24" max="24" width="3.00390625" style="25" hidden="1" customWidth="1"/>
    <col min="25" max="25" width="17.8515625" style="25" hidden="1" customWidth="1"/>
    <col min="26" max="26" width="2.28125" style="25" hidden="1" customWidth="1"/>
    <col min="27" max="27" width="3.28125" style="25" hidden="1" customWidth="1"/>
    <col min="28" max="28" width="3.00390625" style="25" hidden="1" customWidth="1"/>
    <col min="29" max="29" width="4.421875" style="25" hidden="1" customWidth="1"/>
    <col min="30" max="30" width="19.28125" style="25" hidden="1" customWidth="1"/>
    <col min="31" max="31" width="3.140625" style="8" hidden="1" customWidth="1"/>
    <col min="32" max="32" width="3.57421875" style="2" hidden="1" customWidth="1"/>
    <col min="33" max="36" width="2.8515625" style="2" hidden="1" customWidth="1"/>
    <col min="37" max="37" width="3.140625" style="2" hidden="1" customWidth="1"/>
    <col min="38" max="38" width="6.421875" style="2" hidden="1" customWidth="1"/>
    <col min="39" max="42" width="2.8515625" style="2" hidden="1" customWidth="1"/>
    <col min="43" max="43" width="7.7109375" style="2" hidden="1" customWidth="1"/>
    <col min="44" max="47" width="3.00390625" style="2" hidden="1" customWidth="1"/>
    <col min="48" max="48" width="3.140625" style="2" hidden="1" customWidth="1"/>
    <col min="49" max="49" width="11.421875" style="1" hidden="1" customWidth="1"/>
    <col min="50" max="52" width="11.421875" style="2" hidden="1" customWidth="1"/>
    <col min="53" max="16384" width="11.421875" style="2" customWidth="1"/>
  </cols>
  <sheetData>
    <row r="1" spans="1:49" s="15" customFormat="1" ht="14.25" thickBot="1" thickTop="1">
      <c r="A1" s="15" t="s">
        <v>40</v>
      </c>
      <c r="B1" s="58" t="s">
        <v>41</v>
      </c>
      <c r="C1" s="59" t="s">
        <v>0</v>
      </c>
      <c r="D1" s="10" t="s">
        <v>1</v>
      </c>
      <c r="E1" s="52"/>
      <c r="F1" s="10"/>
      <c r="G1" s="60"/>
      <c r="H1" s="61"/>
      <c r="I1" s="12"/>
      <c r="J1" s="13"/>
      <c r="K1" s="14"/>
      <c r="L1" s="10"/>
      <c r="M1" s="24" t="s">
        <v>2</v>
      </c>
      <c r="N1" s="10" t="s">
        <v>18</v>
      </c>
      <c r="O1" s="10" t="s">
        <v>4</v>
      </c>
      <c r="P1" s="10" t="s">
        <v>5</v>
      </c>
      <c r="Q1" s="10" t="s">
        <v>6</v>
      </c>
      <c r="S1" s="25"/>
      <c r="T1" s="25"/>
      <c r="U1" s="25"/>
      <c r="V1" s="20"/>
      <c r="W1" s="25"/>
      <c r="X1" s="20" t="s">
        <v>7</v>
      </c>
      <c r="Y1" s="22" t="s">
        <v>8</v>
      </c>
      <c r="Z1" s="20" t="s">
        <v>18</v>
      </c>
      <c r="AA1" s="20" t="s">
        <v>4</v>
      </c>
      <c r="AB1" s="20" t="s">
        <v>5</v>
      </c>
      <c r="AC1" s="20" t="s">
        <v>6</v>
      </c>
      <c r="AD1" s="20"/>
      <c r="AE1" s="14" t="s">
        <v>19</v>
      </c>
      <c r="AF1" s="16" t="s">
        <v>20</v>
      </c>
      <c r="AG1" s="16"/>
      <c r="AH1" s="16"/>
      <c r="AI1" s="16"/>
      <c r="AJ1" s="16" t="s">
        <v>21</v>
      </c>
      <c r="AK1" s="11" t="s">
        <v>16</v>
      </c>
      <c r="AL1" s="16" t="s">
        <v>22</v>
      </c>
      <c r="AM1" s="16"/>
      <c r="AN1" s="16"/>
      <c r="AO1" s="16"/>
      <c r="AP1" s="16" t="s">
        <v>23</v>
      </c>
      <c r="AQ1" s="16" t="s">
        <v>24</v>
      </c>
      <c r="AR1" s="16"/>
      <c r="AS1" s="16"/>
      <c r="AT1" s="16"/>
      <c r="AU1" s="17" t="s">
        <v>25</v>
      </c>
      <c r="AV1" s="11" t="s">
        <v>26</v>
      </c>
      <c r="AW1" s="39" t="s">
        <v>3</v>
      </c>
    </row>
    <row r="2" spans="2:49" ht="13.5" thickTop="1">
      <c r="B2" s="3" t="s">
        <v>27</v>
      </c>
      <c r="C2" s="3" t="s">
        <v>9</v>
      </c>
      <c r="L2" s="1"/>
      <c r="M2" s="27" t="str">
        <f>VLOOKUP(1,$X$2:$AC$5,2,FALSE)</f>
        <v>England</v>
      </c>
      <c r="N2" s="2">
        <f>VLOOKUP(1,$X$2:$AC$5,3,FALSE)</f>
        <v>7</v>
      </c>
      <c r="O2" s="2">
        <f>VLOOKUP(1,$X$2:$AC$5,4,FALSE)</f>
        <v>7</v>
      </c>
      <c r="P2" s="2">
        <f>VLOOKUP(1,$X$2:$AC$5,5,FALSE)</f>
        <v>2</v>
      </c>
      <c r="Q2" s="2">
        <f>VLOOKUP(1,$X$2:$AC$5,6,FALSE)</f>
        <v>5</v>
      </c>
      <c r="S2" s="28"/>
      <c r="T2" s="29">
        <f>IF(H3="",0,IF(K3=$B$58,IF(H3&gt;J3,3,IF(H3=J3,1,0)),0))</f>
        <v>1</v>
      </c>
      <c r="U2" s="29">
        <f>IF(J7="",0,IF(K5=$B$58,IF(J7&gt;H7,3,IF(J7=H7,1,0)),0))</f>
        <v>3</v>
      </c>
      <c r="V2" s="29">
        <f>IF(J6="",0,IF(K7=$B$58,IF(H6&lt;J6,3,IF(H6=J6,1,0)),0))</f>
        <v>3</v>
      </c>
      <c r="X2" s="30">
        <f>RANK(AD2,$AD$2:$AD$5)</f>
        <v>1</v>
      </c>
      <c r="Y2" s="31" t="s">
        <v>39</v>
      </c>
      <c r="Z2" s="30">
        <f>SUM(S2:V2)</f>
        <v>7</v>
      </c>
      <c r="AA2" s="30">
        <f>SUM(S6:V6)</f>
        <v>7</v>
      </c>
      <c r="AB2" s="30">
        <f>SUM(S6:S9)</f>
        <v>2</v>
      </c>
      <c r="AC2" s="30">
        <f>AA2-AB2</f>
        <v>5</v>
      </c>
      <c r="AD2" s="32">
        <f>IF(P$8="",AE2*10000000000000000+Z2*100000000000000+AC2*1000000000000+AA2*10000000000+AK2*100000000+AJ2*1000000+AP2*10000+AU2*100+AV2,AE2*10000000000000000+Z2*100000000000000+AK2*1000000000000+AJ2*10000000000+AP2*100000000+AU2*1000000+AC2*10000+AA2*100+AV2)</f>
        <v>700000000050704</v>
      </c>
      <c r="AE2" s="5"/>
      <c r="AF2" s="33"/>
      <c r="AG2" s="33">
        <f>IF($Z2=$Z3,$T2-$S3,0)</f>
        <v>0</v>
      </c>
      <c r="AH2" s="33">
        <f>IF($Z2=$Z4,$U2-$S4,0)</f>
        <v>0</v>
      </c>
      <c r="AI2" s="33">
        <f>IF($Z2=$Z5,$V2-$S5,0)</f>
        <v>0</v>
      </c>
      <c r="AJ2" s="33">
        <f>SUM(AF2:AI2)</f>
        <v>0</v>
      </c>
      <c r="AK2" s="5"/>
      <c r="AL2" s="33"/>
      <c r="AM2" s="33">
        <f>IF($Z2=$Z3,$T6-$S7,0)</f>
        <v>0</v>
      </c>
      <c r="AN2" s="33">
        <f>IF($Z2=$Z4,$U6-$S8,0)</f>
        <v>0</v>
      </c>
      <c r="AO2" s="33">
        <f>IF($Z2=$Z5,$V6-$S9,0)</f>
        <v>0</v>
      </c>
      <c r="AP2" s="33">
        <f>SUM(AL2:AO2)</f>
        <v>0</v>
      </c>
      <c r="AQ2" s="33"/>
      <c r="AR2" s="33">
        <f>IF($Z2=$Z3,$T6,0)</f>
        <v>0</v>
      </c>
      <c r="AS2" s="33">
        <f>IF($Z2=$Z4,$U6,0)</f>
        <v>0</v>
      </c>
      <c r="AT2" s="33">
        <f>IF($Z2=$Z5,$V6,0)</f>
        <v>0</v>
      </c>
      <c r="AU2" s="33">
        <f>SUM(AQ2:AT2)</f>
        <v>0</v>
      </c>
      <c r="AV2" s="5">
        <v>4</v>
      </c>
      <c r="AW2" s="40">
        <f>SUM(S2:S5)</f>
        <v>1</v>
      </c>
    </row>
    <row r="3" spans="2:49" ht="12.75">
      <c r="B3" s="6">
        <v>35224.666666666664</v>
      </c>
      <c r="C3" s="4" t="s">
        <v>68</v>
      </c>
      <c r="D3" s="22" t="str">
        <f>Y2</f>
        <v>England</v>
      </c>
      <c r="E3" s="18" t="s">
        <v>10</v>
      </c>
      <c r="F3" s="22" t="str">
        <f>Y3</f>
        <v>Schweiz</v>
      </c>
      <c r="G3" s="20"/>
      <c r="H3" s="41">
        <v>1</v>
      </c>
      <c r="I3" s="34" t="s">
        <v>11</v>
      </c>
      <c r="J3" s="41">
        <v>1</v>
      </c>
      <c r="K3" s="7" t="s">
        <v>12</v>
      </c>
      <c r="L3" s="1"/>
      <c r="M3" s="27" t="str">
        <f>VLOOKUP(2,$X$2:$AC$5,2,FALSE)</f>
        <v>Niederlande</v>
      </c>
      <c r="N3" s="2">
        <f>VLOOKUP(2,$X$2:$AC$5,3,FALSE)</f>
        <v>4</v>
      </c>
      <c r="O3" s="2">
        <f>VLOOKUP(2,$X$2:$AC$5,4,FALSE)</f>
        <v>3</v>
      </c>
      <c r="P3" s="2">
        <f>VLOOKUP(2,$X$2:$AC$5,5,FALSE)</f>
        <v>4</v>
      </c>
      <c r="Q3" s="2">
        <f>VLOOKUP(2,$X$2:$AC$5,6,FALSE)</f>
        <v>-1</v>
      </c>
      <c r="S3" s="29">
        <f>IF(J3="",0,IF(K3=$B$58,IF(H3&lt;J3,3,IF(H3=J3,1,0)),0))</f>
        <v>1</v>
      </c>
      <c r="T3" s="28"/>
      <c r="U3" s="29">
        <f>IF(H5="",0,IF(K6=$B$58,IF(H5&gt;J5,3,IF(H5=J5,1,0)),0))</f>
        <v>0</v>
      </c>
      <c r="V3" s="29">
        <f>IF(J8="",0,IF(K8=$B$58,IF(J8&gt;H8,3,IF(J8=H8,1,0)),0))</f>
        <v>0</v>
      </c>
      <c r="X3" s="30">
        <f>RANK(AD3,$AD$2:$AD$5)</f>
        <v>4</v>
      </c>
      <c r="Y3" s="31" t="s">
        <v>42</v>
      </c>
      <c r="Z3" s="30">
        <f>SUM(S3:V3)</f>
        <v>1</v>
      </c>
      <c r="AA3" s="30">
        <f>SUM(S7:V7)</f>
        <v>1</v>
      </c>
      <c r="AB3" s="30">
        <f>SUM(T6:T9)</f>
        <v>4</v>
      </c>
      <c r="AC3" s="30">
        <f>AA3-AB3</f>
        <v>-3</v>
      </c>
      <c r="AD3" s="32">
        <f>IF(P$8="",AE3*10000000000000000+Z3*100000000000000+AC3*1000000000000+AA3*10000000000+AK3*100000000+AJ3*1000000+AP3*10000+AU3*100+AV3,AE3*10000000000000000+Z3*100000000000000+AK3*1000000000000+AJ3*10000000000+AP3*100000000+AU3*1000000+AC3*10000+AA3*100+AV3)</f>
        <v>99999999970103</v>
      </c>
      <c r="AE3" s="5"/>
      <c r="AF3" s="33">
        <f>IF($Z3=$Z2,$S3-$T2,0)</f>
        <v>0</v>
      </c>
      <c r="AG3" s="33"/>
      <c r="AH3" s="33">
        <f>IF($Z3=$Z4,$U3-$T4,0)</f>
        <v>0</v>
      </c>
      <c r="AI3" s="33">
        <f>IF($Z3=$Z5,$V3-$T5,0)</f>
        <v>0</v>
      </c>
      <c r="AJ3" s="33">
        <f>SUM(AF3:AI3)</f>
        <v>0</v>
      </c>
      <c r="AK3" s="5"/>
      <c r="AL3" s="33">
        <f>IF($Z3=$Z2,$S7-$T6,0)</f>
        <v>0</v>
      </c>
      <c r="AM3" s="33"/>
      <c r="AN3" s="33">
        <f>IF($Z3=$Z4,$U7-$T8,0)</f>
        <v>0</v>
      </c>
      <c r="AO3" s="33">
        <f>IF($Z3=$Z5,$V7-$T9,0)</f>
        <v>0</v>
      </c>
      <c r="AP3" s="33">
        <f>SUM(AL3:AO3)</f>
        <v>0</v>
      </c>
      <c r="AQ3" s="33">
        <f>IF($Z3=$Z2,$S7,0)</f>
        <v>0</v>
      </c>
      <c r="AR3" s="33"/>
      <c r="AS3" s="33">
        <f>IF($Z3=$Z4,$U7,0)</f>
        <v>0</v>
      </c>
      <c r="AT3" s="33">
        <f>IF($Z3=$Z5,$V7,0)</f>
        <v>0</v>
      </c>
      <c r="AU3" s="33">
        <f>SUM(AQ3:AT3)</f>
        <v>0</v>
      </c>
      <c r="AV3" s="5">
        <v>3</v>
      </c>
      <c r="AW3" s="40">
        <f>SUM(T2:T5)</f>
        <v>7</v>
      </c>
    </row>
    <row r="4" spans="2:49" ht="12.75">
      <c r="B4" s="6">
        <v>35226.729166666664</v>
      </c>
      <c r="C4" s="4" t="s">
        <v>69</v>
      </c>
      <c r="D4" s="22" t="str">
        <f>Y4</f>
        <v>Niederlande</v>
      </c>
      <c r="E4" s="18" t="s">
        <v>10</v>
      </c>
      <c r="F4" s="22" t="str">
        <f>Y5</f>
        <v>Schottland</v>
      </c>
      <c r="G4" s="20"/>
      <c r="H4" s="42">
        <v>0</v>
      </c>
      <c r="I4" s="34" t="s">
        <v>11</v>
      </c>
      <c r="J4" s="41">
        <v>0</v>
      </c>
      <c r="K4" s="7" t="s">
        <v>12</v>
      </c>
      <c r="L4" s="1"/>
      <c r="M4" s="27" t="str">
        <f>VLOOKUP(3,$X$2:$AC$5,2,FALSE)</f>
        <v>Schottland</v>
      </c>
      <c r="N4" s="2">
        <f>VLOOKUP(3,$X$2:$AC$5,3,FALSE)</f>
        <v>4</v>
      </c>
      <c r="O4" s="2">
        <f>VLOOKUP(3,$X$2:$AC$5,4,FALSE)</f>
        <v>1</v>
      </c>
      <c r="P4" s="2">
        <f>VLOOKUP(3,$X$2:$AC$5,5,FALSE)</f>
        <v>2</v>
      </c>
      <c r="Q4" s="2">
        <f>VLOOKUP(3,$X$2:$AC$5,6,FALSE)</f>
        <v>-1</v>
      </c>
      <c r="S4" s="29">
        <f>IF(H7="",0,IF(K5=$B$58,IF(J7&lt;H7,3,IF(J7=H7,1,0)),0))</f>
        <v>0</v>
      </c>
      <c r="T4" s="29">
        <f>IF(J5="",0,IF(K6=$B$58,IF(H5&lt;J5,3,IF(H5=J5,1,0)),0))</f>
        <v>3</v>
      </c>
      <c r="U4" s="28"/>
      <c r="V4" s="29">
        <f>IF(H4="",0,IF(K4=$B$58,IF(H4&gt;J4,3,IF(H4=J4,1,0)),0))</f>
        <v>1</v>
      </c>
      <c r="X4" s="30">
        <f>RANK(AD4,$AD$2:$AD$5)</f>
        <v>2</v>
      </c>
      <c r="Y4" s="31" t="s">
        <v>58</v>
      </c>
      <c r="Z4" s="30">
        <f>SUM(S4:V4)</f>
        <v>4</v>
      </c>
      <c r="AA4" s="30">
        <f>SUM(S8:V8)</f>
        <v>3</v>
      </c>
      <c r="AB4" s="30">
        <f>SUM(U6:U9)</f>
        <v>4</v>
      </c>
      <c r="AC4" s="30">
        <f>AA4-AB4</f>
        <v>-1</v>
      </c>
      <c r="AD4" s="32">
        <f>IF(P$8="",AE4*10000000000000000+Z4*100000000000000+AC4*1000000000000+AA4*10000000000+AK4*100000000+AJ4*1000000+AP4*10000+AU4*100+AV4,AE4*10000000000000000+Z4*100000000000000+AK4*1000000000000+AJ4*10000000000+AP4*100000000+AU4*1000000+AC4*10000+AA4*100+AV4)</f>
        <v>399999999990302</v>
      </c>
      <c r="AE4" s="5"/>
      <c r="AF4" s="33">
        <f>IF($Z4=$Z2,$S4-$U2,0)</f>
        <v>0</v>
      </c>
      <c r="AG4" s="33">
        <f>IF($Z4=$Z3,$T4-$U3,0)</f>
        <v>0</v>
      </c>
      <c r="AH4" s="33"/>
      <c r="AI4" s="33">
        <f>IF($Z4=$Z5,$V4-$U5,0)</f>
        <v>0</v>
      </c>
      <c r="AJ4" s="33">
        <f>SUM(AF4:AI4)</f>
        <v>0</v>
      </c>
      <c r="AK4" s="5"/>
      <c r="AL4" s="33">
        <f>IF($Z4=$Z2,$S8-$U6,0)</f>
        <v>0</v>
      </c>
      <c r="AM4" s="33">
        <f>IF($Z4=$Z3,$T8-$U7,0)</f>
        <v>0</v>
      </c>
      <c r="AN4" s="33"/>
      <c r="AO4" s="33">
        <f>IF($Z4=$Z5,$V8-$U9,0)</f>
        <v>0</v>
      </c>
      <c r="AP4" s="33">
        <f>SUM(AL4:AO4)</f>
        <v>0</v>
      </c>
      <c r="AQ4" s="33">
        <f>IF($Z4=$Z2,$S8,0)</f>
        <v>0</v>
      </c>
      <c r="AR4" s="33">
        <f>IF($Z4=$Z3,$T8,0)</f>
        <v>0</v>
      </c>
      <c r="AS4" s="33"/>
      <c r="AT4" s="33">
        <f>IF($Z4=$Z5,$V8,0)</f>
        <v>0</v>
      </c>
      <c r="AU4" s="33">
        <f>SUM(AQ4:AT4)</f>
        <v>0</v>
      </c>
      <c r="AV4" s="5">
        <v>2</v>
      </c>
      <c r="AW4" s="40">
        <f>SUM(U2:U5)</f>
        <v>4</v>
      </c>
    </row>
    <row r="5" spans="2:49" ht="12.75">
      <c r="B5" s="6">
        <v>35229.854166666664</v>
      </c>
      <c r="C5" s="4" t="s">
        <v>69</v>
      </c>
      <c r="D5" s="22" t="str">
        <f>Y3</f>
        <v>Schweiz</v>
      </c>
      <c r="E5" s="18" t="s">
        <v>10</v>
      </c>
      <c r="F5" s="22" t="str">
        <f>Y4</f>
        <v>Niederlande</v>
      </c>
      <c r="H5" s="42">
        <v>0</v>
      </c>
      <c r="I5" s="34" t="s">
        <v>11</v>
      </c>
      <c r="J5" s="42">
        <v>2</v>
      </c>
      <c r="K5" s="7" t="s">
        <v>12</v>
      </c>
      <c r="L5" s="1"/>
      <c r="M5" s="27" t="str">
        <f>VLOOKUP(4,$X$2:$AC$5,2,FALSE)</f>
        <v>Schweiz</v>
      </c>
      <c r="N5" s="2">
        <f>VLOOKUP(4,$X$2:$AC$5,3,FALSE)</f>
        <v>1</v>
      </c>
      <c r="O5" s="2">
        <f>VLOOKUP(4,$X$2:$AC$5,4,FALSE)</f>
        <v>1</v>
      </c>
      <c r="P5" s="2">
        <f>VLOOKUP(4,$X$2:$AC$5,5,FALSE)</f>
        <v>4</v>
      </c>
      <c r="Q5" s="2">
        <f>VLOOKUP(4,$X$2:$AC$5,6,FALSE)</f>
        <v>-3</v>
      </c>
      <c r="S5" s="29">
        <f>IF(H6="",0,IF(K7=$B$58,IF(H6&gt;J6,3,IF(H6=J6,1,0)),0))</f>
        <v>0</v>
      </c>
      <c r="T5" s="29">
        <f>IF(H8="",0,IF(K8=$B$58,IF(J8&lt;H8,3,IF(J8=H8,1,0)),0))</f>
        <v>3</v>
      </c>
      <c r="U5" s="29">
        <f>IF(J4="",0,IF(K4=$B$58,IF(H4&lt;J4,3,IF(H4=J4,1,0)),0))</f>
        <v>1</v>
      </c>
      <c r="V5" s="28"/>
      <c r="X5" s="30">
        <f>RANK(AD5,$AD$2:$AD$5)</f>
        <v>3</v>
      </c>
      <c r="Y5" s="31" t="s">
        <v>59</v>
      </c>
      <c r="Z5" s="30">
        <f>SUM(S5:V5)</f>
        <v>4</v>
      </c>
      <c r="AA5" s="30">
        <f>SUM(S9:V9)</f>
        <v>1</v>
      </c>
      <c r="AB5" s="30">
        <f>SUM(V6:V9)</f>
        <v>2</v>
      </c>
      <c r="AC5" s="30">
        <f>AA5-AB5</f>
        <v>-1</v>
      </c>
      <c r="AD5" s="32">
        <f>IF(P$8="",AE5*10000000000000000+Z5*100000000000000+AC5*1000000000000+AA5*10000000000+AK5*100000000+AJ5*1000000+AP5*10000+AU5*100+AV5,AE5*10000000000000000+Z5*100000000000000+AK5*1000000000000+AJ5*10000000000+AP5*100000000+AU5*1000000+AC5*10000+AA5*100+AV5)</f>
        <v>399999999990101</v>
      </c>
      <c r="AE5" s="5"/>
      <c r="AF5" s="33">
        <f>IF($Z5=$Z2,$S5-$V2,0)</f>
        <v>0</v>
      </c>
      <c r="AG5" s="33">
        <f>IF($Z5=$Z3,$T5-$V3,0)</f>
        <v>0</v>
      </c>
      <c r="AH5" s="33">
        <f>IF($Z5=$Z4,$U5-$V4,0)</f>
        <v>0</v>
      </c>
      <c r="AI5" s="33"/>
      <c r="AJ5" s="33">
        <f>SUM(AF5:AI5)</f>
        <v>0</v>
      </c>
      <c r="AK5" s="5"/>
      <c r="AL5" s="33">
        <f>IF($Z5=$Z2,$S9-$V6,0)</f>
        <v>0</v>
      </c>
      <c r="AM5" s="33">
        <f>IF($Z5=$Z3,$T9-$V7,0)</f>
        <v>0</v>
      </c>
      <c r="AN5" s="33">
        <f>IF($Z5=$Z4,$U9-$V8,0)</f>
        <v>0</v>
      </c>
      <c r="AO5" s="33"/>
      <c r="AP5" s="33">
        <f>SUM(AL5:AO5)</f>
        <v>0</v>
      </c>
      <c r="AQ5" s="33">
        <f>IF($Z5=$Z2,$S9,0)</f>
        <v>0</v>
      </c>
      <c r="AR5" s="33">
        <f>IF($Z5=$Z3,$T9,0)</f>
        <v>0</v>
      </c>
      <c r="AS5" s="33">
        <f>IF($Z5=$Z4,$U9,0)</f>
        <v>0</v>
      </c>
      <c r="AT5" s="33"/>
      <c r="AU5" s="33">
        <f>SUM(AQ5:AT5)</f>
        <v>0</v>
      </c>
      <c r="AV5" s="5">
        <v>1</v>
      </c>
      <c r="AW5" s="40">
        <f>SUM(V2:V5)</f>
        <v>4</v>
      </c>
    </row>
    <row r="6" spans="2:49" ht="12.75">
      <c r="B6" s="6">
        <v>35231.666666666664</v>
      </c>
      <c r="C6" s="4" t="s">
        <v>68</v>
      </c>
      <c r="D6" s="22" t="str">
        <f>Y5</f>
        <v>Schottland</v>
      </c>
      <c r="E6" s="18" t="s">
        <v>10</v>
      </c>
      <c r="F6" s="22" t="str">
        <f>Y2</f>
        <v>England</v>
      </c>
      <c r="G6" s="20"/>
      <c r="H6" s="41">
        <v>0</v>
      </c>
      <c r="I6" s="34" t="s">
        <v>11</v>
      </c>
      <c r="J6" s="42">
        <v>2</v>
      </c>
      <c r="K6" s="7" t="s">
        <v>12</v>
      </c>
      <c r="L6" s="1"/>
      <c r="N6" s="1"/>
      <c r="O6" s="1"/>
      <c r="P6" s="1"/>
      <c r="S6" s="28"/>
      <c r="T6" s="29">
        <f>IF(K3=$B$58,H3,0)</f>
        <v>1</v>
      </c>
      <c r="U6" s="29">
        <f>IF(K5=$B$58,J7,0)</f>
        <v>4</v>
      </c>
      <c r="V6" s="29">
        <f>IF(K7=$B$58,J6,0)</f>
        <v>2</v>
      </c>
      <c r="X6" s="30"/>
      <c r="Y6" s="30"/>
      <c r="Z6" s="30"/>
      <c r="AA6" s="30"/>
      <c r="AB6" s="30"/>
      <c r="AC6" s="30"/>
      <c r="AD6" s="35"/>
      <c r="AE6" s="7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V6" s="33"/>
      <c r="AW6" s="40"/>
    </row>
    <row r="7" spans="2:49" ht="12.75">
      <c r="B7" s="6">
        <v>35234.854166666664</v>
      </c>
      <c r="C7" s="4" t="s">
        <v>68</v>
      </c>
      <c r="D7" s="22" t="str">
        <f>Y4</f>
        <v>Niederlande</v>
      </c>
      <c r="E7" s="18" t="s">
        <v>10</v>
      </c>
      <c r="F7" s="22" t="str">
        <f>Y2</f>
        <v>England</v>
      </c>
      <c r="H7" s="41">
        <v>1</v>
      </c>
      <c r="I7" s="34" t="s">
        <v>11</v>
      </c>
      <c r="J7" s="42">
        <v>4</v>
      </c>
      <c r="K7" s="7" t="s">
        <v>12</v>
      </c>
      <c r="M7" s="62" t="str">
        <f>IF(N2&gt;0,M2,"")</f>
        <v>England</v>
      </c>
      <c r="N7" s="2" t="s">
        <v>13</v>
      </c>
      <c r="P7" s="43"/>
      <c r="S7" s="29">
        <f>IF(K3=$B$58,J3,0)</f>
        <v>1</v>
      </c>
      <c r="T7" s="28"/>
      <c r="U7" s="29">
        <f>IF(K6=$B$58,H5,0)</f>
        <v>0</v>
      </c>
      <c r="V7" s="29">
        <f>IF(K8=$B$58,J8,0)</f>
        <v>0</v>
      </c>
      <c r="AD7" s="25" t="s">
        <v>28</v>
      </c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V7" s="23"/>
      <c r="AW7" s="40"/>
    </row>
    <row r="8" spans="2:49" ht="12.75">
      <c r="B8" s="6">
        <v>35234.854166666664</v>
      </c>
      <c r="C8" s="4" t="s">
        <v>69</v>
      </c>
      <c r="D8" s="22" t="str">
        <f>Y5</f>
        <v>Schottland</v>
      </c>
      <c r="E8" s="18" t="s">
        <v>10</v>
      </c>
      <c r="F8" s="22" t="str">
        <f>Y3</f>
        <v>Schweiz</v>
      </c>
      <c r="H8" s="41">
        <v>1</v>
      </c>
      <c r="J8" s="42">
        <v>0</v>
      </c>
      <c r="K8" s="7" t="s">
        <v>12</v>
      </c>
      <c r="M8" s="62" t="str">
        <f>IF(N3&gt;0,M3,"")</f>
        <v>Niederlande</v>
      </c>
      <c r="N8" s="2" t="s">
        <v>31</v>
      </c>
      <c r="O8" s="44"/>
      <c r="P8" s="45" t="s">
        <v>76</v>
      </c>
      <c r="S8" s="29">
        <f>IF(K5=$B$58,H7,0)</f>
        <v>1</v>
      </c>
      <c r="T8" s="29">
        <f>IF(K6=$B$58,J5,0)</f>
        <v>2</v>
      </c>
      <c r="U8" s="28"/>
      <c r="V8" s="29">
        <f>IF(K4=$B$58,H4,0)</f>
        <v>0</v>
      </c>
      <c r="AD8" s="25" t="s">
        <v>29</v>
      </c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V8" s="23"/>
      <c r="AW8" s="40"/>
    </row>
    <row r="9" spans="7:49" ht="12.75">
      <c r="G9" s="20"/>
      <c r="N9" s="1"/>
      <c r="S9" s="29">
        <f>IF(K7=$B$58,H6,0)</f>
        <v>0</v>
      </c>
      <c r="T9" s="29">
        <f>IF(K8=$B$58,H8,0)</f>
        <v>1</v>
      </c>
      <c r="U9" s="29">
        <f>IF(K4=$B$58,J4,0)</f>
        <v>0</v>
      </c>
      <c r="V9" s="28"/>
      <c r="AD9" s="25" t="s">
        <v>30</v>
      </c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V9" s="23"/>
      <c r="AW9" s="40"/>
    </row>
    <row r="10" spans="4:49" ht="6" customHeight="1">
      <c r="D10" s="25"/>
      <c r="E10" s="26"/>
      <c r="F10" s="21"/>
      <c r="G10" s="21"/>
      <c r="H10" s="25"/>
      <c r="I10" s="25"/>
      <c r="J10" s="25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V10" s="23"/>
      <c r="AW10" s="40"/>
    </row>
    <row r="11" spans="2:49" s="15" customFormat="1" ht="12.75">
      <c r="B11" s="63" t="s">
        <v>41</v>
      </c>
      <c r="C11" s="64" t="s">
        <v>14</v>
      </c>
      <c r="D11" s="20" t="s">
        <v>1</v>
      </c>
      <c r="E11" s="36"/>
      <c r="F11" s="20"/>
      <c r="G11" s="20"/>
      <c r="H11" s="13"/>
      <c r="I11" s="12"/>
      <c r="J11" s="13"/>
      <c r="K11" s="14"/>
      <c r="L11" s="10"/>
      <c r="M11" s="24" t="s">
        <v>2</v>
      </c>
      <c r="N11" s="10" t="s">
        <v>18</v>
      </c>
      <c r="O11" s="10" t="s">
        <v>4</v>
      </c>
      <c r="P11" s="10" t="s">
        <v>5</v>
      </c>
      <c r="Q11" s="10" t="s">
        <v>6</v>
      </c>
      <c r="S11" s="25"/>
      <c r="T11" s="25"/>
      <c r="U11" s="25"/>
      <c r="V11" s="25"/>
      <c r="X11" s="20" t="s">
        <v>7</v>
      </c>
      <c r="Y11" s="22" t="s">
        <v>8</v>
      </c>
      <c r="Z11" s="20" t="s">
        <v>18</v>
      </c>
      <c r="AA11" s="20" t="s">
        <v>4</v>
      </c>
      <c r="AB11" s="20" t="s">
        <v>5</v>
      </c>
      <c r="AC11" s="20" t="s">
        <v>6</v>
      </c>
      <c r="AD11" s="20"/>
      <c r="AE11" s="14" t="s">
        <v>19</v>
      </c>
      <c r="AF11" s="16" t="s">
        <v>20</v>
      </c>
      <c r="AG11" s="16"/>
      <c r="AH11" s="16"/>
      <c r="AI11" s="16"/>
      <c r="AJ11" s="16" t="s">
        <v>21</v>
      </c>
      <c r="AK11" s="11" t="s">
        <v>16</v>
      </c>
      <c r="AL11" s="16" t="s">
        <v>22</v>
      </c>
      <c r="AM11" s="16"/>
      <c r="AN11" s="16"/>
      <c r="AO11" s="16"/>
      <c r="AP11" s="16" t="s">
        <v>23</v>
      </c>
      <c r="AQ11" s="16" t="s">
        <v>24</v>
      </c>
      <c r="AR11" s="16"/>
      <c r="AS11" s="16"/>
      <c r="AT11" s="16"/>
      <c r="AU11" s="17" t="s">
        <v>25</v>
      </c>
      <c r="AV11" s="11" t="s">
        <v>26</v>
      </c>
      <c r="AW11" s="39" t="s">
        <v>3</v>
      </c>
    </row>
    <row r="12" spans="2:49" ht="12.75">
      <c r="B12" s="3" t="s">
        <v>27</v>
      </c>
      <c r="C12" s="3" t="s">
        <v>9</v>
      </c>
      <c r="D12" s="25"/>
      <c r="E12" s="25"/>
      <c r="F12" s="25"/>
      <c r="G12" s="25"/>
      <c r="L12" s="1"/>
      <c r="M12" s="27" t="str">
        <f>VLOOKUP(1,$X$12:$AC$15,2,FALSE)</f>
        <v>Frankreich</v>
      </c>
      <c r="N12" s="2">
        <f>VLOOKUP(1,$X$12:$AC$15,3,FALSE)</f>
        <v>7</v>
      </c>
      <c r="O12" s="2">
        <f>VLOOKUP(1,$X$12:$AC$15,4,FALSE)</f>
        <v>5</v>
      </c>
      <c r="P12" s="2">
        <f>VLOOKUP(1,$X$12:$AC$15,5,FALSE)</f>
        <v>2</v>
      </c>
      <c r="Q12" s="2">
        <f>VLOOKUP(1,$X$12:$AC$15,6,FALSE)</f>
        <v>3</v>
      </c>
      <c r="S12" s="28"/>
      <c r="T12" s="29">
        <f>IF(H13="",0,IF(K13=$B$58,IF(H13&gt;J13,3,IF(H13=J13,1,0)),0))</f>
        <v>1</v>
      </c>
      <c r="U12" s="29">
        <f>IF(J17="",0,IF(K17=$B$58,IF(J17&gt;H17,3,IF(J17=H17,1,0)),0))</f>
        <v>3</v>
      </c>
      <c r="V12" s="29">
        <f>IF(J16="",0,IF(K15=$B$58,IF(H16&lt;J16,3,IF(H16=J16,1,0)),0))</f>
        <v>1</v>
      </c>
      <c r="X12" s="30">
        <f>RANK(AD12,$AD$12:$AD$15)</f>
        <v>2</v>
      </c>
      <c r="Y12" s="31" t="s">
        <v>46</v>
      </c>
      <c r="Z12" s="30">
        <f>SUM(S12:V12)</f>
        <v>5</v>
      </c>
      <c r="AA12" s="30">
        <f>SUM(S16:V16)</f>
        <v>4</v>
      </c>
      <c r="AB12" s="30">
        <f>SUM(S16:S19)</f>
        <v>3</v>
      </c>
      <c r="AC12" s="30">
        <f>AA12-AB12</f>
        <v>1</v>
      </c>
      <c r="AD12" s="32">
        <f>IF(P$18="",AE12*10000000000000000+Z12*100000000000000+AC12*1000000000000+AA12*10000000000+AK12*100000000+AJ12*1000000+AP12*10000+AU12*100+AV12,AE12*10000000000000000+Z12*100000000000000+AK12*1000000000000+AJ12*10000000000+AP12*100000000+AU12*1000000+AC12*10000+AA12*100+AV12)</f>
        <v>500000000010404</v>
      </c>
      <c r="AE12" s="5"/>
      <c r="AF12" s="33"/>
      <c r="AG12" s="33">
        <f>IF($Z12=$Z13,$T12-$S13,0)</f>
        <v>0</v>
      </c>
      <c r="AH12" s="33">
        <f>IF($Z12=$Z14,$U12-$S14,0)</f>
        <v>0</v>
      </c>
      <c r="AI12" s="33">
        <f>IF($Z12=$Z15,$V12-$S15,0)</f>
        <v>0</v>
      </c>
      <c r="AJ12" s="33">
        <f>SUM(AF12:AI12)</f>
        <v>0</v>
      </c>
      <c r="AK12" s="5"/>
      <c r="AL12" s="33"/>
      <c r="AM12" s="33">
        <f>IF($Z12=$Z13,$T16-$S17,0)</f>
        <v>0</v>
      </c>
      <c r="AN12" s="33">
        <f>IF($Z12=$Z14,$U16-$S18,0)</f>
        <v>0</v>
      </c>
      <c r="AO12" s="33">
        <f>IF($Z12=$Z15,$V16-$S19,0)</f>
        <v>0</v>
      </c>
      <c r="AP12" s="33">
        <f>SUM(AL12:AO12)</f>
        <v>0</v>
      </c>
      <c r="AQ12" s="33"/>
      <c r="AR12" s="33">
        <f>IF($Z12=$Z13,$T16,0)</f>
        <v>0</v>
      </c>
      <c r="AS12" s="33">
        <f>IF($Z12=$Z14,$U16,0)</f>
        <v>0</v>
      </c>
      <c r="AT12" s="33">
        <f>IF($Z12=$Z15,$V16,0)</f>
        <v>0</v>
      </c>
      <c r="AU12" s="33">
        <f>SUM(AQ12:AT12)</f>
        <v>0</v>
      </c>
      <c r="AV12" s="5">
        <v>4</v>
      </c>
      <c r="AW12" s="40">
        <f>SUM(S12:S15)</f>
        <v>2</v>
      </c>
    </row>
    <row r="13" spans="2:49" ht="12.75">
      <c r="B13" s="6">
        <v>35225.645833333336</v>
      </c>
      <c r="C13" s="4" t="s">
        <v>71</v>
      </c>
      <c r="D13" s="22" t="str">
        <f>Y12</f>
        <v>Spanien</v>
      </c>
      <c r="E13" s="18" t="s">
        <v>10</v>
      </c>
      <c r="F13" s="22" t="str">
        <f>Y13</f>
        <v>Bulgarien</v>
      </c>
      <c r="G13" s="20"/>
      <c r="H13" s="41">
        <v>1</v>
      </c>
      <c r="I13" s="34" t="s">
        <v>11</v>
      </c>
      <c r="J13" s="41">
        <v>1</v>
      </c>
      <c r="K13" s="7" t="s">
        <v>12</v>
      </c>
      <c r="L13" s="1"/>
      <c r="M13" s="27" t="str">
        <f>VLOOKUP(2,$X$12:$AC$15,2,FALSE)</f>
        <v>Spanien</v>
      </c>
      <c r="N13" s="2">
        <f>VLOOKUP(2,$X$12:$AC$15,3,FALSE)</f>
        <v>5</v>
      </c>
      <c r="O13" s="2">
        <f>VLOOKUP(2,$X$12:$AC$15,4,FALSE)</f>
        <v>4</v>
      </c>
      <c r="P13" s="2">
        <f>VLOOKUP(2,$X$12:$AC$15,5,FALSE)</f>
        <v>3</v>
      </c>
      <c r="Q13" s="2">
        <f>VLOOKUP(2,$X$12:$AC$15,6,FALSE)</f>
        <v>1</v>
      </c>
      <c r="S13" s="29">
        <f>IF(J13="",0,IF(K13=$B$58,IF(H13&lt;J13,3,IF(H13=J13,1,0)),0))</f>
        <v>1</v>
      </c>
      <c r="T13" s="28"/>
      <c r="U13" s="29">
        <f>IF(H15="",0,IF(K16=$B$58,IF(H15&gt;J15,3,IF(H15=J15,1,0)),0))</f>
        <v>3</v>
      </c>
      <c r="V13" s="29">
        <f>IF(J18="",0,IF(K18=$B$58,IF(J18&gt;H18,3,IF(J18=H18,1,0)),0))</f>
        <v>0</v>
      </c>
      <c r="X13" s="30">
        <f>RANK(AD13,$AD$12:$AD$15)</f>
        <v>3</v>
      </c>
      <c r="Y13" s="31" t="s">
        <v>50</v>
      </c>
      <c r="Z13" s="30">
        <f>SUM(S13:V13)</f>
        <v>4</v>
      </c>
      <c r="AA13" s="30">
        <f>SUM(S17:V17)</f>
        <v>3</v>
      </c>
      <c r="AB13" s="30">
        <f>SUM(T16:T19)</f>
        <v>4</v>
      </c>
      <c r="AC13" s="30">
        <f>AA13-AB13</f>
        <v>-1</v>
      </c>
      <c r="AD13" s="32">
        <f>IF(P$18="",AE13*10000000000000000+Z13*100000000000000+AC13*1000000000000+AA13*10000000000+AK13*100000000+AJ13*1000000+AP13*10000+AU13*100+AV13,AE13*10000000000000000+Z13*100000000000000+AK13*1000000000000+AJ13*10000000000+AP13*100000000+AU13*1000000+AC13*10000+AA13*100+AV13)</f>
        <v>399999999990303</v>
      </c>
      <c r="AE13" s="5"/>
      <c r="AF13" s="33">
        <f>IF($Z13=$Z12,$S13-$T12,0)</f>
        <v>0</v>
      </c>
      <c r="AG13" s="33"/>
      <c r="AH13" s="33">
        <f>IF($Z13=$Z14,$U13-$T14,0)</f>
        <v>0</v>
      </c>
      <c r="AI13" s="33">
        <f>IF($Z13=$Z15,$V13-$T15,0)</f>
        <v>0</v>
      </c>
      <c r="AJ13" s="33">
        <f>SUM(AF13:AI13)</f>
        <v>0</v>
      </c>
      <c r="AK13" s="5"/>
      <c r="AL13" s="33">
        <f>IF($Z13=$Z12,$S17-$T16,0)</f>
        <v>0</v>
      </c>
      <c r="AM13" s="33"/>
      <c r="AN13" s="33">
        <f>IF($Z13=$Z14,$U17-$T18,0)</f>
        <v>0</v>
      </c>
      <c r="AO13" s="33">
        <f>IF($Z13=$Z15,$V17-$T19,0)</f>
        <v>0</v>
      </c>
      <c r="AP13" s="33">
        <f>SUM(AL13:AO13)</f>
        <v>0</v>
      </c>
      <c r="AQ13" s="33">
        <f>IF($Z13=$Z12,$S17,0)</f>
        <v>0</v>
      </c>
      <c r="AR13" s="33"/>
      <c r="AS13" s="33">
        <f>IF($Z13=$Z14,$U17,0)</f>
        <v>0</v>
      </c>
      <c r="AT13" s="33">
        <f>IF($Z13=$Z15,$V17,0)</f>
        <v>0</v>
      </c>
      <c r="AU13" s="33">
        <f>SUM(AQ13:AT13)</f>
        <v>0</v>
      </c>
      <c r="AV13" s="5">
        <v>3</v>
      </c>
      <c r="AW13" s="40">
        <f>SUM(T12:T15)</f>
        <v>4</v>
      </c>
    </row>
    <row r="14" spans="2:49" ht="12.75">
      <c r="B14" s="6">
        <v>35226.854166666664</v>
      </c>
      <c r="C14" s="4" t="s">
        <v>70</v>
      </c>
      <c r="D14" s="22" t="str">
        <f>Y14</f>
        <v>Rumänien</v>
      </c>
      <c r="E14" s="18" t="s">
        <v>10</v>
      </c>
      <c r="F14" s="22" t="str">
        <f>Y15</f>
        <v>Frankreich</v>
      </c>
      <c r="G14" s="20"/>
      <c r="H14" s="42">
        <v>0</v>
      </c>
      <c r="I14" s="34" t="s">
        <v>11</v>
      </c>
      <c r="J14" s="41">
        <v>1</v>
      </c>
      <c r="K14" s="7" t="s">
        <v>12</v>
      </c>
      <c r="L14" s="1"/>
      <c r="M14" s="27" t="str">
        <f>VLOOKUP(3,$X$12:$AC$15,2,FALSE)</f>
        <v>Bulgarien</v>
      </c>
      <c r="N14" s="2">
        <f>VLOOKUP(3,$X$12:$AC$15,3,FALSE)</f>
        <v>4</v>
      </c>
      <c r="O14" s="2">
        <f>VLOOKUP(3,$X$12:$AC$15,4,FALSE)</f>
        <v>3</v>
      </c>
      <c r="P14" s="2">
        <f>VLOOKUP(3,$X$12:$AC$15,5,FALSE)</f>
        <v>4</v>
      </c>
      <c r="Q14" s="2">
        <f>VLOOKUP(3,$X$12:$AC$15,6,FALSE)</f>
        <v>-1</v>
      </c>
      <c r="S14" s="29">
        <f>IF(H17="",0,IF(K17=$B$58,IF(J17&lt;H17,3,IF(J17=H17,1,0)),0))</f>
        <v>0</v>
      </c>
      <c r="T14" s="29">
        <f>IF(J15="",0,IF(K16=$B$58,IF(H15&lt;J15,3,IF(H15=J15,1,0)),0))</f>
        <v>0</v>
      </c>
      <c r="U14" s="28"/>
      <c r="V14" s="29">
        <f>IF(H14="",0,IF(K14=$B$58,IF(H14&gt;J14,3,IF(H14=J14,1,0)),0))</f>
        <v>0</v>
      </c>
      <c r="X14" s="30">
        <f>RANK(AD14,$AD$12:$AD$15)</f>
        <v>4</v>
      </c>
      <c r="Y14" s="31" t="s">
        <v>60</v>
      </c>
      <c r="Z14" s="30">
        <f>SUM(S14:V14)</f>
        <v>0</v>
      </c>
      <c r="AA14" s="30">
        <f>SUM(S18:V18)</f>
        <v>1</v>
      </c>
      <c r="AB14" s="30">
        <f>SUM(U16:U19)</f>
        <v>4</v>
      </c>
      <c r="AC14" s="30">
        <f>AA14-AB14</f>
        <v>-3</v>
      </c>
      <c r="AD14" s="32">
        <f>IF(P$18="",AE14*10000000000000000+Z14*100000000000000+AC14*1000000000000+AA14*10000000000+AK14*100000000+AJ14*1000000+AP14*10000+AU14*100+AV14,AE14*10000000000000000+Z14*100000000000000+AK14*1000000000000+AJ14*10000000000+AP14*100000000+AU14*1000000+AC14*10000+AA14*100+AV14)</f>
        <v>-29898</v>
      </c>
      <c r="AE14" s="5"/>
      <c r="AF14" s="33">
        <f>IF($Z14=$Z12,$S14-$U12,0)</f>
        <v>0</v>
      </c>
      <c r="AG14" s="33">
        <f>IF($Z14=$Z13,$T14-$U13,0)</f>
        <v>0</v>
      </c>
      <c r="AH14" s="33"/>
      <c r="AI14" s="33">
        <f>IF($Z14=$Z15,$V14-$U15,0)</f>
        <v>0</v>
      </c>
      <c r="AJ14" s="33">
        <f>SUM(AF14:AI14)</f>
        <v>0</v>
      </c>
      <c r="AK14" s="5"/>
      <c r="AL14" s="33">
        <f>IF($Z14=$Z12,$S18-$U16,0)</f>
        <v>0</v>
      </c>
      <c r="AM14" s="33">
        <f>IF($Z14=$Z13,$T18-$U17,0)</f>
        <v>0</v>
      </c>
      <c r="AN14" s="33"/>
      <c r="AO14" s="33">
        <f>IF($Z14=$Z15,$V18-$U19,0)</f>
        <v>0</v>
      </c>
      <c r="AP14" s="33">
        <f>SUM(AL14:AO14)</f>
        <v>0</v>
      </c>
      <c r="AQ14" s="33">
        <f>IF($Z14=$Z12,$S18,0)</f>
        <v>0</v>
      </c>
      <c r="AR14" s="33">
        <f>IF($Z14=$Z13,$T18,0)</f>
        <v>0</v>
      </c>
      <c r="AS14" s="33"/>
      <c r="AT14" s="33">
        <f>IF($Z14=$Z15,$V18,0)</f>
        <v>0</v>
      </c>
      <c r="AU14" s="33">
        <f>SUM(AQ14:AT14)</f>
        <v>0</v>
      </c>
      <c r="AV14" s="5">
        <v>2</v>
      </c>
      <c r="AW14" s="40">
        <f>SUM(U12:U15)</f>
        <v>9</v>
      </c>
    </row>
    <row r="15" spans="2:49" ht="12.75">
      <c r="B15" s="6">
        <v>35229.729166666664</v>
      </c>
      <c r="C15" s="4" t="s">
        <v>70</v>
      </c>
      <c r="D15" s="22" t="str">
        <f>Y13</f>
        <v>Bulgarien</v>
      </c>
      <c r="E15" s="18" t="s">
        <v>10</v>
      </c>
      <c r="F15" s="22" t="str">
        <f>Y14</f>
        <v>Rumänien</v>
      </c>
      <c r="H15" s="42">
        <v>1</v>
      </c>
      <c r="I15" s="34" t="s">
        <v>11</v>
      </c>
      <c r="J15" s="42">
        <v>0</v>
      </c>
      <c r="K15" s="7" t="s">
        <v>12</v>
      </c>
      <c r="L15" s="1"/>
      <c r="M15" s="27" t="str">
        <f>VLOOKUP(4,$X$12:$AC$15,2,FALSE)</f>
        <v>Rumänien</v>
      </c>
      <c r="N15" s="2">
        <f>VLOOKUP(4,$X$12:$AC$15,3,FALSE)</f>
        <v>0</v>
      </c>
      <c r="O15" s="2">
        <f>VLOOKUP(4,$X$12:$AC$15,4,FALSE)</f>
        <v>1</v>
      </c>
      <c r="P15" s="2">
        <f>VLOOKUP(4,$X$12:$AC$15,5,FALSE)</f>
        <v>4</v>
      </c>
      <c r="Q15" s="2">
        <f>VLOOKUP(4,$X$12:$AC$15,6,FALSE)</f>
        <v>-3</v>
      </c>
      <c r="S15" s="29">
        <f>IF(H16="",0,IF(K15=$B$58,IF(H16&gt;J16,3,IF(H16=J16,1,0)),0))</f>
        <v>1</v>
      </c>
      <c r="T15" s="29">
        <f>IF(H18="",0,IF(K18=$B$58,IF(J18&lt;H18,3,IF(J18=H18,1,0)),0))</f>
        <v>3</v>
      </c>
      <c r="U15" s="29">
        <f>IF(J14="",0,IF(K14=$B$58,IF(H14&lt;J14,3,IF(H14=J14,1,0)),0))</f>
        <v>3</v>
      </c>
      <c r="V15" s="28"/>
      <c r="X15" s="30">
        <f>RANK(AD15,$AD$12:$AD$15)</f>
        <v>1</v>
      </c>
      <c r="Y15" s="31" t="s">
        <v>61</v>
      </c>
      <c r="Z15" s="30">
        <f>SUM(S15:V15)</f>
        <v>7</v>
      </c>
      <c r="AA15" s="30">
        <f>SUM(S19:V19)</f>
        <v>5</v>
      </c>
      <c r="AB15" s="30">
        <f>SUM(V16:V19)</f>
        <v>2</v>
      </c>
      <c r="AC15" s="30">
        <f>AA15-AB15</f>
        <v>3</v>
      </c>
      <c r="AD15" s="32">
        <f>IF(P$18="",AE15*10000000000000000+Z15*100000000000000+AC15*1000000000000+AA15*10000000000+AK15*100000000+AJ15*1000000+AP15*10000+AU15*100+AV15,AE15*10000000000000000+Z15*100000000000000+AK15*1000000000000+AJ15*10000000000+AP15*100000000+AU15*1000000+AC15*10000+AA15*100+AV15)</f>
        <v>700000000030501</v>
      </c>
      <c r="AE15" s="5"/>
      <c r="AF15" s="33">
        <f>IF($Z15=$Z12,$S15-$V12,0)</f>
        <v>0</v>
      </c>
      <c r="AG15" s="33">
        <f>IF($Z15=$Z13,$T15-$V13,0)</f>
        <v>0</v>
      </c>
      <c r="AH15" s="33">
        <f>IF($Z15=$Z14,$U15-$V14,0)</f>
        <v>0</v>
      </c>
      <c r="AI15" s="33"/>
      <c r="AJ15" s="33">
        <f>SUM(AF15:AI15)</f>
        <v>0</v>
      </c>
      <c r="AK15" s="5"/>
      <c r="AL15" s="33">
        <f>IF($Z15=$Z12,$S19-$V16,0)</f>
        <v>0</v>
      </c>
      <c r="AM15" s="33">
        <f>IF($Z15=$Z13,$T19-$V17,0)</f>
        <v>0</v>
      </c>
      <c r="AN15" s="33">
        <f>IF($Z15=$Z14,$U19-$V18,0)</f>
        <v>0</v>
      </c>
      <c r="AO15" s="33"/>
      <c r="AP15" s="33">
        <f>SUM(AL15:AO15)</f>
        <v>0</v>
      </c>
      <c r="AQ15" s="33">
        <f>IF($Z15=$Z12,$S19,0)</f>
        <v>0</v>
      </c>
      <c r="AR15" s="33">
        <f>IF($Z15=$Z13,$T19,0)</f>
        <v>0</v>
      </c>
      <c r="AS15" s="33">
        <f>IF($Z15=$Z14,$U19,0)</f>
        <v>0</v>
      </c>
      <c r="AT15" s="33"/>
      <c r="AU15" s="33">
        <f>SUM(AQ15:AT15)</f>
        <v>0</v>
      </c>
      <c r="AV15" s="5">
        <v>1</v>
      </c>
      <c r="AW15" s="40">
        <f>SUM(V12:V15)</f>
        <v>1</v>
      </c>
    </row>
    <row r="16" spans="2:49" ht="12.75">
      <c r="B16" s="6">
        <v>35231.791666666664</v>
      </c>
      <c r="C16" s="4" t="s">
        <v>71</v>
      </c>
      <c r="D16" s="22" t="str">
        <f>Y15</f>
        <v>Frankreich</v>
      </c>
      <c r="F16" s="22" t="str">
        <f>Y12</f>
        <v>Spanien</v>
      </c>
      <c r="H16" s="41">
        <v>1</v>
      </c>
      <c r="I16" s="9" t="s">
        <v>11</v>
      </c>
      <c r="J16" s="42">
        <v>1</v>
      </c>
      <c r="K16" s="7" t="s">
        <v>12</v>
      </c>
      <c r="L16" s="1"/>
      <c r="N16" s="1"/>
      <c r="O16" s="1"/>
      <c r="P16" s="1"/>
      <c r="S16" s="28"/>
      <c r="T16" s="29">
        <f>IF(K13=$B$58,H13,0)</f>
        <v>1</v>
      </c>
      <c r="U16" s="29">
        <f>IF(K17=$B$58,J17,0)</f>
        <v>2</v>
      </c>
      <c r="V16" s="29">
        <f>IF(K15=$B$58,J16,0)</f>
        <v>1</v>
      </c>
      <c r="X16" s="30"/>
      <c r="Y16" s="30"/>
      <c r="Z16" s="30"/>
      <c r="AA16" s="30"/>
      <c r="AB16" s="30"/>
      <c r="AC16" s="30"/>
      <c r="AD16" s="35"/>
      <c r="AE16" s="7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V16" s="33"/>
      <c r="AW16" s="40"/>
    </row>
    <row r="17" spans="2:49" ht="12.75">
      <c r="B17" s="6">
        <v>35234.729166666664</v>
      </c>
      <c r="C17" s="4" t="s">
        <v>71</v>
      </c>
      <c r="D17" s="22" t="str">
        <f>Y14</f>
        <v>Rumänien</v>
      </c>
      <c r="E17" s="18" t="s">
        <v>10</v>
      </c>
      <c r="F17" s="22" t="str">
        <f>Y12</f>
        <v>Spanien</v>
      </c>
      <c r="G17" s="25"/>
      <c r="H17" s="41">
        <v>1</v>
      </c>
      <c r="I17" s="34" t="s">
        <v>11</v>
      </c>
      <c r="J17" s="42">
        <v>2</v>
      </c>
      <c r="K17" s="7" t="s">
        <v>12</v>
      </c>
      <c r="M17" s="65" t="str">
        <f>IF(N12&gt;0,M12,"")</f>
        <v>Frankreich</v>
      </c>
      <c r="N17" s="2" t="s">
        <v>15</v>
      </c>
      <c r="P17" s="43"/>
      <c r="S17" s="29">
        <f>IF(K13=$B$58,J13,0)</f>
        <v>1</v>
      </c>
      <c r="T17" s="28"/>
      <c r="U17" s="29">
        <f>IF(K16=$B$58,H15,0)</f>
        <v>1</v>
      </c>
      <c r="V17" s="29">
        <f>IF(K18=$B$58,J18,0)</f>
        <v>1</v>
      </c>
      <c r="AD17" s="25" t="s">
        <v>28</v>
      </c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V17" s="23"/>
      <c r="AW17" s="40"/>
    </row>
    <row r="18" spans="2:49" ht="12.75">
      <c r="B18" s="6">
        <v>35234.729166666664</v>
      </c>
      <c r="C18" s="4" t="s">
        <v>70</v>
      </c>
      <c r="D18" s="22" t="str">
        <f>Y15</f>
        <v>Frankreich</v>
      </c>
      <c r="E18" s="18" t="s">
        <v>10</v>
      </c>
      <c r="F18" s="22" t="str">
        <f>Y13</f>
        <v>Bulgarien</v>
      </c>
      <c r="G18" s="20"/>
      <c r="H18" s="41">
        <v>3</v>
      </c>
      <c r="I18" s="34" t="s">
        <v>11</v>
      </c>
      <c r="J18" s="42">
        <v>1</v>
      </c>
      <c r="K18" s="7" t="s">
        <v>12</v>
      </c>
      <c r="M18" s="65" t="str">
        <f>IF(N13&gt;0,M13,"")</f>
        <v>Spanien</v>
      </c>
      <c r="N18" s="2" t="s">
        <v>32</v>
      </c>
      <c r="O18" s="44"/>
      <c r="P18" s="45" t="s">
        <v>76</v>
      </c>
      <c r="S18" s="29">
        <f>IF(K17=$B$58,H17,0)</f>
        <v>1</v>
      </c>
      <c r="T18" s="29">
        <f>IF(K16=$B$58,J15,0)</f>
        <v>0</v>
      </c>
      <c r="U18" s="28"/>
      <c r="V18" s="29">
        <f>IF(K14=$B$58,H14,0)</f>
        <v>0</v>
      </c>
      <c r="AD18" s="25" t="s">
        <v>29</v>
      </c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V18" s="23"/>
      <c r="AW18" s="40"/>
    </row>
    <row r="19" spans="7:49" ht="12.75">
      <c r="G19" s="20"/>
      <c r="N19" s="1"/>
      <c r="S19" s="29">
        <f>IF(K15=$B$58,H16,0)</f>
        <v>1</v>
      </c>
      <c r="T19" s="29">
        <f>IF(K18=$B$58,H18,0)</f>
        <v>3</v>
      </c>
      <c r="U19" s="29">
        <f>IF(K14=$B$58,J14,0)</f>
        <v>1</v>
      </c>
      <c r="V19" s="28"/>
      <c r="AD19" s="25" t="s">
        <v>30</v>
      </c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V19" s="23"/>
      <c r="AW19" s="40"/>
    </row>
    <row r="20" spans="4:49" ht="6" customHeight="1">
      <c r="D20" s="25"/>
      <c r="E20" s="26"/>
      <c r="F20" s="21"/>
      <c r="G20" s="21"/>
      <c r="H20" s="25"/>
      <c r="I20" s="25"/>
      <c r="J20" s="25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V20" s="23"/>
      <c r="AW20" s="40"/>
    </row>
    <row r="21" spans="2:49" s="15" customFormat="1" ht="12.75">
      <c r="B21" s="66" t="s">
        <v>41</v>
      </c>
      <c r="C21" s="67" t="s">
        <v>45</v>
      </c>
      <c r="D21" s="20" t="s">
        <v>1</v>
      </c>
      <c r="E21" s="36"/>
      <c r="F21" s="20"/>
      <c r="G21" s="20"/>
      <c r="H21" s="13"/>
      <c r="I21" s="12"/>
      <c r="J21" s="13"/>
      <c r="K21" s="14"/>
      <c r="L21" s="10"/>
      <c r="M21" s="24" t="s">
        <v>2</v>
      </c>
      <c r="N21" s="10" t="s">
        <v>18</v>
      </c>
      <c r="O21" s="10" t="s">
        <v>4</v>
      </c>
      <c r="P21" s="10" t="s">
        <v>5</v>
      </c>
      <c r="Q21" s="10" t="s">
        <v>6</v>
      </c>
      <c r="S21" s="25"/>
      <c r="T21" s="25"/>
      <c r="U21" s="25"/>
      <c r="V21" s="25"/>
      <c r="X21" s="20" t="s">
        <v>7</v>
      </c>
      <c r="Y21" s="22" t="s">
        <v>8</v>
      </c>
      <c r="Z21" s="20" t="s">
        <v>18</v>
      </c>
      <c r="AA21" s="20" t="s">
        <v>4</v>
      </c>
      <c r="AB21" s="20" t="s">
        <v>5</v>
      </c>
      <c r="AC21" s="20" t="s">
        <v>6</v>
      </c>
      <c r="AD21" s="20"/>
      <c r="AE21" s="14" t="s">
        <v>19</v>
      </c>
      <c r="AF21" s="16" t="s">
        <v>20</v>
      </c>
      <c r="AG21" s="16"/>
      <c r="AH21" s="16"/>
      <c r="AI21" s="16"/>
      <c r="AJ21" s="16" t="s">
        <v>21</v>
      </c>
      <c r="AK21" s="11" t="s">
        <v>16</v>
      </c>
      <c r="AL21" s="16" t="s">
        <v>22</v>
      </c>
      <c r="AM21" s="16"/>
      <c r="AN21" s="16"/>
      <c r="AO21" s="16"/>
      <c r="AP21" s="16" t="s">
        <v>23</v>
      </c>
      <c r="AQ21" s="16" t="s">
        <v>24</v>
      </c>
      <c r="AR21" s="16"/>
      <c r="AS21" s="16"/>
      <c r="AT21" s="16"/>
      <c r="AU21" s="17" t="s">
        <v>25</v>
      </c>
      <c r="AV21" s="11" t="s">
        <v>26</v>
      </c>
      <c r="AW21" s="39" t="s">
        <v>3</v>
      </c>
    </row>
    <row r="22" spans="2:49" ht="12.75">
      <c r="B22" s="3" t="s">
        <v>27</v>
      </c>
      <c r="C22" s="3" t="s">
        <v>9</v>
      </c>
      <c r="D22" s="25"/>
      <c r="E22" s="25"/>
      <c r="F22" s="25"/>
      <c r="G22" s="25"/>
      <c r="L22" s="1"/>
      <c r="M22" s="27" t="str">
        <f>VLOOKUP(1,$X$22:$AC$25,2,FALSE)</f>
        <v>Deutschland</v>
      </c>
      <c r="N22" s="2">
        <f>VLOOKUP(1,$X$22:$AC$25,3,FALSE)</f>
        <v>7</v>
      </c>
      <c r="O22" s="2">
        <f>VLOOKUP(1,$X$22:$AC$25,4,FALSE)</f>
        <v>5</v>
      </c>
      <c r="P22" s="2">
        <f>VLOOKUP(1,$X$22:$AC$25,5,FALSE)</f>
        <v>0</v>
      </c>
      <c r="Q22" s="2">
        <f>VLOOKUP(1,$X$22:$AC$25,6,FALSE)</f>
        <v>5</v>
      </c>
      <c r="S22" s="28"/>
      <c r="T22" s="29">
        <f>IF(H23="",0,IF(K23=$B$58,IF(H23&gt;J23,3,IF(H23=J23,1,0)),0))</f>
        <v>0</v>
      </c>
      <c r="U22" s="29">
        <f>IF(H25="",0,IF(K25=$B$58,IF(H25&gt;J25,3,IF(H25=J25,1,0)),0))</f>
        <v>3</v>
      </c>
      <c r="V22" s="29">
        <f>IF(J28="",0,IF(K27=$B$58,IF(H28&lt;J28,3,IF(H28=J28,1,0)),0))</f>
        <v>1</v>
      </c>
      <c r="X22" s="30">
        <f>RANK(AD22,$AD$22:$AD$25)</f>
        <v>2</v>
      </c>
      <c r="Y22" s="31" t="s">
        <v>62</v>
      </c>
      <c r="Z22" s="30">
        <f>SUM(S22:V22)</f>
        <v>4</v>
      </c>
      <c r="AA22" s="30">
        <f>SUM(S26:V26)</f>
        <v>5</v>
      </c>
      <c r="AB22" s="30">
        <f>SUM(S26:S29)</f>
        <v>6</v>
      </c>
      <c r="AC22" s="30">
        <f>AA22-AB22</f>
        <v>-1</v>
      </c>
      <c r="AD22" s="32">
        <f>IF(P$28="",AE22*10000000000000000+Z22*100000000000000+AC22*1000000000000+AA22*10000000000+AK22*100000000+AJ22*1000000+AP22*10000+AU22*100+AV22,AE22*10000000000000000+Z22*100000000000000+AK22*1000000000000+AJ22*10000000000+AP22*100000000+AU22*1000000+AC22*10000+AA22*100+AV22)</f>
        <v>400030101990504</v>
      </c>
      <c r="AE22" s="5"/>
      <c r="AF22" s="33"/>
      <c r="AG22" s="33">
        <f>IF($Z22=$Z23,$T22-$S23,0)</f>
        <v>0</v>
      </c>
      <c r="AH22" s="33">
        <f>IF($Z22=$Z24,$U22-$S24,0)</f>
        <v>3</v>
      </c>
      <c r="AI22" s="33">
        <f>IF($Z22=$Z25,$V22-$S25,0)</f>
        <v>0</v>
      </c>
      <c r="AJ22" s="33">
        <f>SUM(AF22:AI22)</f>
        <v>3</v>
      </c>
      <c r="AK22" s="5"/>
      <c r="AL22" s="33"/>
      <c r="AM22" s="33">
        <f>IF($Z22=$Z23,$T26-$S27,0)</f>
        <v>0</v>
      </c>
      <c r="AN22" s="33">
        <f>IF($Z22=$Z24,$U26-$S28,0)</f>
        <v>1</v>
      </c>
      <c r="AO22" s="33">
        <f>IF($Z22=$Z25,$V26-$S29,0)</f>
        <v>0</v>
      </c>
      <c r="AP22" s="33">
        <f>SUM(AL22:AO22)</f>
        <v>1</v>
      </c>
      <c r="AQ22" s="33"/>
      <c r="AR22" s="33">
        <f>IF($Z22=$Z23,$T26,0)</f>
        <v>0</v>
      </c>
      <c r="AS22" s="33">
        <f>IF($Z22=$Z24,$U26,0)</f>
        <v>2</v>
      </c>
      <c r="AT22" s="33">
        <f>IF($Z22=$Z25,$V26,0)</f>
        <v>0</v>
      </c>
      <c r="AU22" s="33">
        <f>SUM(AQ22:AT22)</f>
        <v>2</v>
      </c>
      <c r="AV22" s="5">
        <v>4</v>
      </c>
      <c r="AW22" s="40">
        <f>SUM(S22:S25)</f>
        <v>4</v>
      </c>
    </row>
    <row r="23" spans="2:49" ht="12.75">
      <c r="B23" s="6">
        <v>35225.75</v>
      </c>
      <c r="C23" s="4" t="s">
        <v>72</v>
      </c>
      <c r="D23" s="22" t="str">
        <f>Y22</f>
        <v>Tschechien</v>
      </c>
      <c r="E23" s="18" t="s">
        <v>10</v>
      </c>
      <c r="F23" s="22" t="str">
        <f>Y23</f>
        <v>Deutschland</v>
      </c>
      <c r="G23" s="20"/>
      <c r="H23" s="41">
        <v>0</v>
      </c>
      <c r="I23" s="34" t="s">
        <v>11</v>
      </c>
      <c r="J23" s="41">
        <v>2</v>
      </c>
      <c r="K23" s="7" t="s">
        <v>12</v>
      </c>
      <c r="L23" s="1"/>
      <c r="M23" s="27" t="str">
        <f>VLOOKUP(2,$X$22:$AC$25,2,FALSE)</f>
        <v>Tschechien</v>
      </c>
      <c r="N23" s="2">
        <f>VLOOKUP(2,$X$22:$AC$25,3,FALSE)</f>
        <v>4</v>
      </c>
      <c r="O23" s="2">
        <f>VLOOKUP(2,$X$22:$AC$25,4,FALSE)</f>
        <v>5</v>
      </c>
      <c r="P23" s="2">
        <f>VLOOKUP(2,$X$22:$AC$25,5,FALSE)</f>
        <v>6</v>
      </c>
      <c r="Q23" s="2">
        <f>VLOOKUP(2,$X$22:$AC$25,6,FALSE)</f>
        <v>-1</v>
      </c>
      <c r="S23" s="29">
        <f>IF(J23="",0,IF(K23=$B$58,IF(H23&lt;J23,3,IF(H23=J23,1,0)),0))</f>
        <v>3</v>
      </c>
      <c r="T23" s="28"/>
      <c r="U23" s="29">
        <f>IF(J27="",0,IF(K28=$B$58,IF(J27&gt;H27,3,IF(J27=H27,1,0)),0))</f>
        <v>1</v>
      </c>
      <c r="V23" s="29">
        <f>IF(J26="",0,IF(K26=$B$58,IF(J26&gt;H26,3,IF(J26=H26,1,0)),0))</f>
        <v>3</v>
      </c>
      <c r="X23" s="30">
        <f>RANK(AD23,$AD$22:$AD$25)</f>
        <v>1</v>
      </c>
      <c r="Y23" s="31" t="s">
        <v>44</v>
      </c>
      <c r="Z23" s="30">
        <f>SUM(S23:V23)</f>
        <v>7</v>
      </c>
      <c r="AA23" s="30">
        <f>SUM(S27:V27)</f>
        <v>5</v>
      </c>
      <c r="AB23" s="30">
        <f>SUM(T26:T29)</f>
        <v>0</v>
      </c>
      <c r="AC23" s="30">
        <f>AA23-AB23</f>
        <v>5</v>
      </c>
      <c r="AD23" s="32">
        <f>IF(P$28="",AE23*10000000000000000+Z23*100000000000000+AC23*1000000000000+AA23*10000000000+AK23*100000000+AJ23*1000000+AP23*10000+AU23*100+AV23,AE23*10000000000000000+Z23*100000000000000+AK23*1000000000000+AJ23*10000000000+AP23*100000000+AU23*1000000+AC23*10000+AA23*100+AV23)</f>
        <v>700000000050503</v>
      </c>
      <c r="AE23" s="5"/>
      <c r="AF23" s="33">
        <f>IF($Z23=$Z22,$S23-$T22,0)</f>
        <v>0</v>
      </c>
      <c r="AG23" s="33"/>
      <c r="AH23" s="33">
        <f>IF($Z23=$Z24,$U23-$T24,0)</f>
        <v>0</v>
      </c>
      <c r="AI23" s="33">
        <f>IF($Z23=$Z25,$V23-$T25,0)</f>
        <v>0</v>
      </c>
      <c r="AJ23" s="33">
        <f>SUM(AF23:AI23)</f>
        <v>0</v>
      </c>
      <c r="AK23" s="5"/>
      <c r="AL23" s="33">
        <f>IF($Z23=$Z22,$S27-$T26,0)</f>
        <v>0</v>
      </c>
      <c r="AM23" s="33"/>
      <c r="AN23" s="33">
        <f>IF($Z23=$Z24,$U27-$T28,0)</f>
        <v>0</v>
      </c>
      <c r="AO23" s="33">
        <f>IF($Z23=$Z25,$V27-$T29,0)</f>
        <v>0</v>
      </c>
      <c r="AP23" s="33">
        <f>SUM(AL23:AO23)</f>
        <v>0</v>
      </c>
      <c r="AQ23" s="33">
        <f>IF($Z23=$Z22,$S27,0)</f>
        <v>0</v>
      </c>
      <c r="AR23" s="33"/>
      <c r="AS23" s="33">
        <f>IF($Z23=$Z24,$U27,0)</f>
        <v>0</v>
      </c>
      <c r="AT23" s="33">
        <f>IF($Z23=$Z25,$V27,0)</f>
        <v>0</v>
      </c>
      <c r="AU23" s="33">
        <f>SUM(AQ23:AT23)</f>
        <v>0</v>
      </c>
      <c r="AV23" s="5">
        <v>3</v>
      </c>
      <c r="AW23" s="40">
        <f>SUM(T22:T25)</f>
        <v>1</v>
      </c>
    </row>
    <row r="24" spans="2:49" ht="12.75">
      <c r="B24" s="6">
        <v>35227.729166666664</v>
      </c>
      <c r="C24" s="4" t="s">
        <v>73</v>
      </c>
      <c r="D24" s="22" t="str">
        <f>Y24</f>
        <v>Italien</v>
      </c>
      <c r="E24" s="18" t="s">
        <v>10</v>
      </c>
      <c r="F24" s="22" t="str">
        <f>Y25</f>
        <v>Russland</v>
      </c>
      <c r="G24" s="20"/>
      <c r="H24" s="42">
        <v>2</v>
      </c>
      <c r="I24" s="34" t="s">
        <v>11</v>
      </c>
      <c r="J24" s="41">
        <v>1</v>
      </c>
      <c r="K24" s="7" t="s">
        <v>12</v>
      </c>
      <c r="L24" s="1"/>
      <c r="M24" s="27" t="str">
        <f>VLOOKUP(3,$X$22:$AC$25,2,FALSE)</f>
        <v>Italien</v>
      </c>
      <c r="N24" s="2">
        <f>VLOOKUP(3,$X$22:$AC$25,3,FALSE)</f>
        <v>4</v>
      </c>
      <c r="O24" s="2">
        <f>VLOOKUP(3,$X$22:$AC$25,4,FALSE)</f>
        <v>3</v>
      </c>
      <c r="P24" s="2">
        <f>VLOOKUP(3,$X$22:$AC$25,5,FALSE)</f>
        <v>3</v>
      </c>
      <c r="Q24" s="2">
        <f>VLOOKUP(3,$X$22:$AC$25,6,FALSE)</f>
        <v>0</v>
      </c>
      <c r="S24" s="29">
        <f>IF(J25="",0,IF(K25=$B$58,IF(H25&lt;J25,3,IF(H25=J25,1,0)),0))</f>
        <v>0</v>
      </c>
      <c r="T24" s="29">
        <f>IF(H27="",0,IF(K28=$B$58,IF(J27&lt;H27,3,IF(J27=H27,1,0)),0))</f>
        <v>1</v>
      </c>
      <c r="U24" s="28"/>
      <c r="V24" s="29">
        <f>IF(H24="",0,IF(K24=$B$58,IF(H24&gt;J24,3,IF(H24=J24,1,0)),0))</f>
        <v>3</v>
      </c>
      <c r="X24" s="30">
        <f>RANK(AD24,$AD$22:$AD$25)</f>
        <v>3</v>
      </c>
      <c r="Y24" s="31" t="s">
        <v>43</v>
      </c>
      <c r="Z24" s="30">
        <f>SUM(S24:V24)</f>
        <v>4</v>
      </c>
      <c r="AA24" s="30">
        <f>SUM(S28:V28)</f>
        <v>3</v>
      </c>
      <c r="AB24" s="30">
        <f>SUM(U26:U29)</f>
        <v>3</v>
      </c>
      <c r="AC24" s="30">
        <f>AA24-AB24</f>
        <v>0</v>
      </c>
      <c r="AD24" s="32">
        <f>IF(P$28="",AE24*10000000000000000+Z24*100000000000000+AC24*1000000000000+AA24*10000000000+AK24*100000000+AJ24*1000000+AP24*10000+AU24*100+AV24,AE24*10000000000000000+Z24*100000000000000+AK24*1000000000000+AJ24*10000000000+AP24*100000000+AU24*1000000+AC24*10000+AA24*100+AV24)</f>
        <v>399969901000302</v>
      </c>
      <c r="AE24" s="5"/>
      <c r="AF24" s="33">
        <f>IF($Z24=$Z22,$S24-$U22,0)</f>
        <v>-3</v>
      </c>
      <c r="AG24" s="33">
        <f>IF($Z24=$Z23,$T24-$U23,0)</f>
        <v>0</v>
      </c>
      <c r="AH24" s="33"/>
      <c r="AI24" s="33">
        <f>IF($Z24=$Z25,$V24-$U25,0)</f>
        <v>0</v>
      </c>
      <c r="AJ24" s="33">
        <f>SUM(AF24:AI24)</f>
        <v>-3</v>
      </c>
      <c r="AK24" s="5"/>
      <c r="AL24" s="33">
        <f>IF($Z24=$Z22,$S28-$U26,0)</f>
        <v>-1</v>
      </c>
      <c r="AM24" s="33">
        <f>IF($Z24=$Z23,$T28-$U27,0)</f>
        <v>0</v>
      </c>
      <c r="AN24" s="33"/>
      <c r="AO24" s="33">
        <f>IF($Z24=$Z25,$V28-$U29,0)</f>
        <v>0</v>
      </c>
      <c r="AP24" s="33">
        <f>SUM(AL24:AO24)</f>
        <v>-1</v>
      </c>
      <c r="AQ24" s="33">
        <f>IF($Z24=$Z22,$S28,0)</f>
        <v>1</v>
      </c>
      <c r="AR24" s="33">
        <f>IF($Z24=$Z23,$T28,0)</f>
        <v>0</v>
      </c>
      <c r="AS24" s="33"/>
      <c r="AT24" s="33">
        <f>IF($Z24=$Z25,$V28,0)</f>
        <v>0</v>
      </c>
      <c r="AU24" s="33">
        <f>SUM(AQ24:AT24)</f>
        <v>1</v>
      </c>
      <c r="AV24" s="5">
        <v>2</v>
      </c>
      <c r="AW24" s="40">
        <f>SUM(U22:U25)</f>
        <v>4</v>
      </c>
    </row>
    <row r="25" spans="2:49" ht="12.75">
      <c r="B25" s="6">
        <v>35230.854166666664</v>
      </c>
      <c r="C25" s="4" t="s">
        <v>73</v>
      </c>
      <c r="D25" s="22" t="str">
        <f>Y22</f>
        <v>Tschechien</v>
      </c>
      <c r="E25" s="18" t="s">
        <v>10</v>
      </c>
      <c r="F25" s="22" t="str">
        <f>Y24</f>
        <v>Italien</v>
      </c>
      <c r="G25" s="20"/>
      <c r="H25" s="42">
        <v>2</v>
      </c>
      <c r="I25" s="34" t="s">
        <v>11</v>
      </c>
      <c r="J25" s="41">
        <v>1</v>
      </c>
      <c r="K25" s="7" t="s">
        <v>12</v>
      </c>
      <c r="L25" s="1"/>
      <c r="M25" s="27" t="str">
        <f>VLOOKUP(4,$X$22:$AC$25,2,FALSE)</f>
        <v>Russland</v>
      </c>
      <c r="N25" s="2">
        <f>VLOOKUP(4,$X$22:$AC$25,3,FALSE)</f>
        <v>1</v>
      </c>
      <c r="O25" s="2">
        <f>VLOOKUP(4,$X$22:$AC$25,4,FALSE)</f>
        <v>4</v>
      </c>
      <c r="P25" s="2">
        <f>VLOOKUP(4,$X$22:$AC$25,5,FALSE)</f>
        <v>8</v>
      </c>
      <c r="Q25" s="2">
        <f>VLOOKUP(4,$X$22:$AC$25,6,FALSE)</f>
        <v>-4</v>
      </c>
      <c r="S25" s="29">
        <f>IF(H28="",0,IF(K27=$B$58,IF(H28&gt;J28,3,IF(H28=J28,1,0)),0))</f>
        <v>1</v>
      </c>
      <c r="T25" s="29">
        <f>IF(H26="",0,IF(K26=$B$58,IF(J26&lt;H26,3,IF(J26=H26,1,0)),0))</f>
        <v>0</v>
      </c>
      <c r="U25" s="29">
        <f>IF(J24="",0,IF(K24=$B$58,IF(H24&lt;J24,3,IF(H24=J24,1,0)),0))</f>
        <v>0</v>
      </c>
      <c r="V25" s="28"/>
      <c r="X25" s="30">
        <f>RANK(AD25,$AD$22:$AD$25)</f>
        <v>4</v>
      </c>
      <c r="Y25" s="31" t="s">
        <v>63</v>
      </c>
      <c r="Z25" s="30">
        <f>SUM(S25:V25)</f>
        <v>1</v>
      </c>
      <c r="AA25" s="30">
        <f>SUM(S29:V29)</f>
        <v>4</v>
      </c>
      <c r="AB25" s="30">
        <f>SUM(V26:V29)</f>
        <v>8</v>
      </c>
      <c r="AC25" s="30">
        <f>AA25-AB25</f>
        <v>-4</v>
      </c>
      <c r="AD25" s="32">
        <f>IF(P$28="",AE25*10000000000000000+Z25*100000000000000+AC25*1000000000000+AA25*10000000000+AK25*100000000+AJ25*1000000+AP25*10000+AU25*100+AV25,AE25*10000000000000000+Z25*100000000000000+AK25*1000000000000+AJ25*10000000000+AP25*100000000+AU25*1000000+AC25*10000+AA25*100+AV25)</f>
        <v>99999999960401</v>
      </c>
      <c r="AE25" s="5"/>
      <c r="AF25" s="33">
        <f>IF($Z25=$Z22,$S25-$V22,0)</f>
        <v>0</v>
      </c>
      <c r="AG25" s="33">
        <f>IF($Z25=$Z23,$T25-$V23,0)</f>
        <v>0</v>
      </c>
      <c r="AH25" s="33">
        <f>IF($Z25=$Z24,$U25-$V24,0)</f>
        <v>0</v>
      </c>
      <c r="AI25" s="33"/>
      <c r="AJ25" s="33">
        <f>SUM(AF25:AI25)</f>
        <v>0</v>
      </c>
      <c r="AK25" s="5"/>
      <c r="AL25" s="33">
        <f>IF($Z25=$Z22,$S29-$V26,0)</f>
        <v>0</v>
      </c>
      <c r="AM25" s="33">
        <f>IF($Z25=$Z23,$T29-$V27,0)</f>
        <v>0</v>
      </c>
      <c r="AN25" s="33">
        <f>IF($Z25=$Z24,$U29-$V28,0)</f>
        <v>0</v>
      </c>
      <c r="AO25" s="33"/>
      <c r="AP25" s="33">
        <f>SUM(AL25:AO25)</f>
        <v>0</v>
      </c>
      <c r="AQ25" s="33">
        <f>IF($Z25=$Z22,$S29,0)</f>
        <v>0</v>
      </c>
      <c r="AR25" s="33">
        <f>IF($Z25=$Z23,$T29,0)</f>
        <v>0</v>
      </c>
      <c r="AS25" s="33">
        <f>IF($Z25=$Z24,$U29,0)</f>
        <v>0</v>
      </c>
      <c r="AT25" s="33"/>
      <c r="AU25" s="33">
        <f>SUM(AQ25:AT25)</f>
        <v>0</v>
      </c>
      <c r="AV25" s="5">
        <v>1</v>
      </c>
      <c r="AW25" s="40">
        <f>SUM(V22:V25)</f>
        <v>7</v>
      </c>
    </row>
    <row r="26" spans="2:49" ht="12.75">
      <c r="B26" s="6">
        <v>35232.666666666664</v>
      </c>
      <c r="C26" s="4" t="s">
        <v>72</v>
      </c>
      <c r="D26" s="22" t="str">
        <f>Y25</f>
        <v>Russland</v>
      </c>
      <c r="E26" s="18" t="s">
        <v>10</v>
      </c>
      <c r="F26" s="22" t="str">
        <f>Y23</f>
        <v>Deutschland</v>
      </c>
      <c r="G26" s="20"/>
      <c r="H26" s="41">
        <v>0</v>
      </c>
      <c r="I26" s="34" t="s">
        <v>11</v>
      </c>
      <c r="J26" s="42">
        <v>3</v>
      </c>
      <c r="K26" s="7" t="s">
        <v>12</v>
      </c>
      <c r="L26" s="1"/>
      <c r="N26" s="1"/>
      <c r="O26" s="1"/>
      <c r="P26" s="1"/>
      <c r="S26" s="28"/>
      <c r="T26" s="29">
        <f>IF(K23=$B$58,H23,0)</f>
        <v>0</v>
      </c>
      <c r="U26" s="29">
        <f>IF(K25=$B$58,H25,0)</f>
        <v>2</v>
      </c>
      <c r="V26" s="29">
        <f>IF(K27=$B$58,J28,0)</f>
        <v>3</v>
      </c>
      <c r="X26" s="30"/>
      <c r="Y26" s="30"/>
      <c r="Z26" s="30"/>
      <c r="AA26" s="30"/>
      <c r="AB26" s="30"/>
      <c r="AC26" s="30"/>
      <c r="AD26" s="35"/>
      <c r="AE26" s="7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V26" s="33"/>
      <c r="AW26" s="40"/>
    </row>
    <row r="27" spans="2:49" ht="12.75">
      <c r="B27" s="6">
        <v>35235.854166666664</v>
      </c>
      <c r="C27" s="4" t="s">
        <v>72</v>
      </c>
      <c r="D27" s="22" t="str">
        <f>Y24</f>
        <v>Italien</v>
      </c>
      <c r="E27" s="18" t="s">
        <v>10</v>
      </c>
      <c r="F27" s="22" t="str">
        <f>Y23</f>
        <v>Deutschland</v>
      </c>
      <c r="G27" s="25"/>
      <c r="H27" s="42">
        <v>0</v>
      </c>
      <c r="I27" s="34" t="s">
        <v>11</v>
      </c>
      <c r="J27" s="42">
        <v>0</v>
      </c>
      <c r="K27" s="7" t="s">
        <v>12</v>
      </c>
      <c r="M27" s="68" t="str">
        <f>IF(N22&gt;0,M22,"")</f>
        <v>Deutschland</v>
      </c>
      <c r="N27" s="2" t="s">
        <v>47</v>
      </c>
      <c r="P27" s="43"/>
      <c r="S27" s="29">
        <f>IF(K23=$B$58,J23,0)</f>
        <v>2</v>
      </c>
      <c r="T27" s="28"/>
      <c r="U27" s="29">
        <f>IF(K28=$B$58,J27,0)</f>
        <v>0</v>
      </c>
      <c r="V27" s="29">
        <f>IF(K26=$B$58,J26,0)</f>
        <v>3</v>
      </c>
      <c r="AD27" s="25" t="s">
        <v>28</v>
      </c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V27" s="23"/>
      <c r="AW27" s="40"/>
    </row>
    <row r="28" spans="2:49" ht="12.75">
      <c r="B28" s="6">
        <v>35235.854166666664</v>
      </c>
      <c r="C28" s="4" t="s">
        <v>73</v>
      </c>
      <c r="D28" s="22" t="str">
        <f>Y25</f>
        <v>Russland</v>
      </c>
      <c r="E28" s="18" t="s">
        <v>10</v>
      </c>
      <c r="F28" s="22" t="str">
        <f>Y22</f>
        <v>Tschechien</v>
      </c>
      <c r="G28" s="25"/>
      <c r="H28" s="41">
        <v>3</v>
      </c>
      <c r="I28" s="34" t="s">
        <v>11</v>
      </c>
      <c r="J28" s="42">
        <v>3</v>
      </c>
      <c r="K28" s="7" t="s">
        <v>12</v>
      </c>
      <c r="M28" s="68" t="str">
        <f>IF(N23&gt;0,M23,"")</f>
        <v>Tschechien</v>
      </c>
      <c r="N28" s="2" t="s">
        <v>48</v>
      </c>
      <c r="O28" s="44"/>
      <c r="P28" s="45" t="s">
        <v>76</v>
      </c>
      <c r="S28" s="29">
        <f>IF(K25=$B$58,J25,0)</f>
        <v>1</v>
      </c>
      <c r="T28" s="29">
        <f>IF(K28=$B$58,H27,0)</f>
        <v>0</v>
      </c>
      <c r="U28" s="28"/>
      <c r="V28" s="29">
        <f>IF(K24=$B$58,H24,0)</f>
        <v>2</v>
      </c>
      <c r="AD28" s="25" t="s">
        <v>29</v>
      </c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V28" s="23"/>
      <c r="AW28" s="40"/>
    </row>
    <row r="29" spans="14:49" ht="12.75">
      <c r="N29" s="1"/>
      <c r="S29" s="29">
        <f>IF(K27=$B$58,H28,0)</f>
        <v>3</v>
      </c>
      <c r="T29" s="29">
        <f>IF(K26=$B$58,H26,0)</f>
        <v>0</v>
      </c>
      <c r="U29" s="29">
        <f>IF(K24=$B$58,J24,0)</f>
        <v>1</v>
      </c>
      <c r="V29" s="28"/>
      <c r="AD29" s="25" t="s">
        <v>30</v>
      </c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V29" s="23"/>
      <c r="AW29" s="40"/>
    </row>
    <row r="30" spans="4:49" ht="6" customHeight="1">
      <c r="D30" s="25"/>
      <c r="E30" s="26"/>
      <c r="F30" s="21"/>
      <c r="G30" s="21"/>
      <c r="H30" s="25"/>
      <c r="I30" s="25"/>
      <c r="J30" s="25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V30" s="23"/>
      <c r="AW30" s="40"/>
    </row>
    <row r="31" spans="2:49" s="15" customFormat="1" ht="12.75">
      <c r="B31" s="69" t="s">
        <v>41</v>
      </c>
      <c r="C31" s="70" t="s">
        <v>49</v>
      </c>
      <c r="D31" s="20" t="s">
        <v>1</v>
      </c>
      <c r="E31" s="36"/>
      <c r="G31" s="20"/>
      <c r="I31" s="12"/>
      <c r="J31" s="13"/>
      <c r="K31" s="14"/>
      <c r="L31" s="10"/>
      <c r="M31" s="24" t="s">
        <v>2</v>
      </c>
      <c r="N31" s="10" t="s">
        <v>18</v>
      </c>
      <c r="O31" s="10" t="s">
        <v>4</v>
      </c>
      <c r="P31" s="10" t="s">
        <v>5</v>
      </c>
      <c r="Q31" s="10" t="s">
        <v>6</v>
      </c>
      <c r="S31" s="25"/>
      <c r="T31" s="25"/>
      <c r="U31" s="25"/>
      <c r="V31" s="25"/>
      <c r="X31" s="20" t="s">
        <v>7</v>
      </c>
      <c r="Y31" s="22" t="s">
        <v>8</v>
      </c>
      <c r="Z31" s="20" t="s">
        <v>18</v>
      </c>
      <c r="AA31" s="20" t="s">
        <v>4</v>
      </c>
      <c r="AB31" s="20" t="s">
        <v>5</v>
      </c>
      <c r="AC31" s="20" t="s">
        <v>6</v>
      </c>
      <c r="AD31" s="20"/>
      <c r="AE31" s="14" t="s">
        <v>19</v>
      </c>
      <c r="AF31" s="16" t="s">
        <v>20</v>
      </c>
      <c r="AG31" s="16"/>
      <c r="AH31" s="16"/>
      <c r="AI31" s="16"/>
      <c r="AJ31" s="16" t="s">
        <v>21</v>
      </c>
      <c r="AK31" s="11" t="s">
        <v>16</v>
      </c>
      <c r="AL31" s="16" t="s">
        <v>22</v>
      </c>
      <c r="AM31" s="16"/>
      <c r="AN31" s="16"/>
      <c r="AO31" s="16"/>
      <c r="AP31" s="16" t="s">
        <v>23</v>
      </c>
      <c r="AQ31" s="16" t="s">
        <v>24</v>
      </c>
      <c r="AR31" s="16"/>
      <c r="AS31" s="16"/>
      <c r="AT31" s="16"/>
      <c r="AU31" s="17" t="s">
        <v>25</v>
      </c>
      <c r="AV31" s="11" t="s">
        <v>26</v>
      </c>
      <c r="AW31" s="39" t="s">
        <v>3</v>
      </c>
    </row>
    <row r="32" spans="2:49" ht="12.75">
      <c r="B32" s="3" t="s">
        <v>27</v>
      </c>
      <c r="C32" s="3" t="s">
        <v>9</v>
      </c>
      <c r="D32" s="25"/>
      <c r="E32" s="25"/>
      <c r="G32" s="25"/>
      <c r="L32" s="1"/>
      <c r="M32" s="27" t="str">
        <f>VLOOKUP(1,$X$32:$AC$35,2,FALSE)</f>
        <v>Portugal</v>
      </c>
      <c r="N32" s="2">
        <f>VLOOKUP(1,$X$32:$AC$35,3,FALSE)</f>
        <v>7</v>
      </c>
      <c r="O32" s="2">
        <f>VLOOKUP(1,$X$32:$AC$35,4,FALSE)</f>
        <v>5</v>
      </c>
      <c r="P32" s="2">
        <f>VLOOKUP(1,$X$32:$AC$35,5,FALSE)</f>
        <v>1</v>
      </c>
      <c r="Q32" s="2">
        <f>VLOOKUP(1,$X$32:$AC$35,6,FALSE)</f>
        <v>4</v>
      </c>
      <c r="S32" s="28"/>
      <c r="T32" s="29">
        <f>IF(H33="",0,IF(K33=$B$58,IF(H33&gt;J33,3,IF(H33=J33,1,0)),0))</f>
        <v>1</v>
      </c>
      <c r="U32" s="29">
        <f>IF(J37="",0,IF(K37=$B$58,IF(J37&gt;H37,3,IF(J37=H37,1,0)),0))</f>
        <v>3</v>
      </c>
      <c r="V32" s="29">
        <f>IF(J36="",0,IF(K35=$B$58,IF(H36&lt;J36,3,IF(H36=J36,1,0)),0))</f>
        <v>0</v>
      </c>
      <c r="X32" s="30">
        <f>RANK(AD32,$AD$32:$AD$35)</f>
        <v>3</v>
      </c>
      <c r="Y32" s="31" t="s">
        <v>64</v>
      </c>
      <c r="Z32" s="30">
        <f>SUM(S32:V32)</f>
        <v>4</v>
      </c>
      <c r="AA32" s="30">
        <f>SUM(S36:V36)</f>
        <v>4</v>
      </c>
      <c r="AB32" s="30">
        <f>SUM(S36:S39)</f>
        <v>4</v>
      </c>
      <c r="AC32" s="30">
        <f>AA32-AB32</f>
        <v>0</v>
      </c>
      <c r="AD32" s="32">
        <f>IF(P$38="",AE32*10000000000000000+Z32*100000000000000+AC32*1000000000000+AA32*10000000000+AK32*100000000+AJ32*1000000+AP32*10000+AU32*100+AV32,AE32*10000000000000000+Z32*100000000000000+AK32*1000000000000+AJ32*10000000000+AP32*100000000+AU32*1000000+AC32*10000+AA32*100+AV32)</f>
        <v>400000000000404</v>
      </c>
      <c r="AE32" s="5"/>
      <c r="AF32" s="33"/>
      <c r="AG32" s="33">
        <f>IF($Z32=$Z33,$T32-$S33,0)</f>
        <v>0</v>
      </c>
      <c r="AH32" s="33">
        <f>IF($Z32=$Z34,$U32-$S34,0)</f>
        <v>0</v>
      </c>
      <c r="AI32" s="33">
        <f>IF($Z32=$Z35,$V32-$S35,0)</f>
        <v>0</v>
      </c>
      <c r="AJ32" s="33">
        <f>SUM(AF32:AI32)</f>
        <v>0</v>
      </c>
      <c r="AK32" s="5"/>
      <c r="AL32" s="33"/>
      <c r="AM32" s="33">
        <f>IF($Z32=$Z33,$T36-$S37,0)</f>
        <v>0</v>
      </c>
      <c r="AN32" s="33">
        <f>IF($Z32=$Z34,$U36-$S38,0)</f>
        <v>0</v>
      </c>
      <c r="AO32" s="33">
        <f>IF($Z32=$Z35,$V36-$S39,0)</f>
        <v>0</v>
      </c>
      <c r="AP32" s="33">
        <f>SUM(AL32:AO32)</f>
        <v>0</v>
      </c>
      <c r="AQ32" s="33"/>
      <c r="AR32" s="33">
        <f>IF($Z32=$Z33,$T36,0)</f>
        <v>0</v>
      </c>
      <c r="AS32" s="33">
        <f>IF($Z32=$Z34,$U36,0)</f>
        <v>0</v>
      </c>
      <c r="AT32" s="33">
        <f>IF($Z32=$Z35,$V36,0)</f>
        <v>0</v>
      </c>
      <c r="AU32" s="33">
        <f>SUM(AQ32:AT32)</f>
        <v>0</v>
      </c>
      <c r="AV32" s="5">
        <v>4</v>
      </c>
      <c r="AW32" s="40">
        <f>SUM(S32:S35)</f>
        <v>4</v>
      </c>
    </row>
    <row r="33" spans="2:49" ht="12.75">
      <c r="B33" s="6">
        <v>35225.854166666664</v>
      </c>
      <c r="C33" s="4" t="s">
        <v>74</v>
      </c>
      <c r="D33" s="22" t="str">
        <f>Y32</f>
        <v>Dänemark</v>
      </c>
      <c r="E33" s="18" t="s">
        <v>10</v>
      </c>
      <c r="F33" s="22" t="str">
        <f>Y33</f>
        <v>Portugal</v>
      </c>
      <c r="G33" s="20"/>
      <c r="H33" s="41">
        <v>1</v>
      </c>
      <c r="I33" s="34" t="s">
        <v>11</v>
      </c>
      <c r="J33" s="41">
        <v>1</v>
      </c>
      <c r="K33" s="7" t="s">
        <v>12</v>
      </c>
      <c r="L33" s="1"/>
      <c r="M33" s="27" t="str">
        <f>VLOOKUP(2,$X$32:$AC$35,2,FALSE)</f>
        <v>Kroatien</v>
      </c>
      <c r="N33" s="2">
        <f>VLOOKUP(2,$X$32:$AC$35,3,FALSE)</f>
        <v>6</v>
      </c>
      <c r="O33" s="2">
        <f>VLOOKUP(2,$X$32:$AC$35,4,FALSE)</f>
        <v>4</v>
      </c>
      <c r="P33" s="2">
        <f>VLOOKUP(2,$X$32:$AC$35,5,FALSE)</f>
        <v>3</v>
      </c>
      <c r="Q33" s="2">
        <f>VLOOKUP(2,$X$32:$AC$35,6,FALSE)</f>
        <v>1</v>
      </c>
      <c r="S33" s="29">
        <f>IF(J33="",0,IF(K33=$B$58,IF(H33&lt;J33,3,IF(H33=J33,1,0)),0))</f>
        <v>1</v>
      </c>
      <c r="T33" s="28"/>
      <c r="U33" s="29">
        <f>IF(H35="",0,IF(K36=$B$58,IF(H35&gt;J35,3,IF(H35=J35,1,0)),0))</f>
        <v>3</v>
      </c>
      <c r="V33" s="29">
        <f>IF(J38="",0,IF(K38=$B$58,IF(J38&gt;H38,3,IF(J38=H38,1,0)),0))</f>
        <v>3</v>
      </c>
      <c r="X33" s="30">
        <f>RANK(AD33,$AD$32:$AD$35)</f>
        <v>1</v>
      </c>
      <c r="Y33" s="31" t="s">
        <v>65</v>
      </c>
      <c r="Z33" s="30">
        <f>SUM(S33:V33)</f>
        <v>7</v>
      </c>
      <c r="AA33" s="30">
        <f>SUM(S37:V37)</f>
        <v>5</v>
      </c>
      <c r="AB33" s="30">
        <f>SUM(T36:T39)</f>
        <v>1</v>
      </c>
      <c r="AC33" s="30">
        <f>AA33-AB33</f>
        <v>4</v>
      </c>
      <c r="AD33" s="32">
        <f>IF(P$38="",AE33*10000000000000000+Z33*100000000000000+AC33*1000000000000+AA33*10000000000+AK33*100000000+AJ33*1000000+AP33*10000+AU33*100+AV33,AE33*10000000000000000+Z33*100000000000000+AK33*1000000000000+AJ33*10000000000+AP33*100000000+AU33*1000000+AC33*10000+AA33*100+AV33)</f>
        <v>700000000040503</v>
      </c>
      <c r="AE33" s="5"/>
      <c r="AF33" s="33">
        <f>IF($Z33=$Z32,$S33-$T32,0)</f>
        <v>0</v>
      </c>
      <c r="AG33" s="33"/>
      <c r="AH33" s="33">
        <f>IF($Z33=$Z34,$U33-$T34,0)</f>
        <v>0</v>
      </c>
      <c r="AI33" s="33">
        <f>IF($Z33=$Z35,$V33-$T35,0)</f>
        <v>0</v>
      </c>
      <c r="AJ33" s="33">
        <f>SUM(AF33:AI33)</f>
        <v>0</v>
      </c>
      <c r="AK33" s="5"/>
      <c r="AL33" s="33">
        <f>IF($Z33=$Z32,$S37-$T36,0)</f>
        <v>0</v>
      </c>
      <c r="AM33" s="33"/>
      <c r="AN33" s="33">
        <f>IF($Z33=$Z34,$U37-$T38,0)</f>
        <v>0</v>
      </c>
      <c r="AO33" s="33">
        <f>IF($Z33=$Z35,$V37-$T39,0)</f>
        <v>0</v>
      </c>
      <c r="AP33" s="33">
        <f>SUM(AL33:AO33)</f>
        <v>0</v>
      </c>
      <c r="AQ33" s="33">
        <f>IF($Z33=$Z32,$S37,0)</f>
        <v>0</v>
      </c>
      <c r="AR33" s="33"/>
      <c r="AS33" s="33">
        <f>IF($Z33=$Z34,$U37,0)</f>
        <v>0</v>
      </c>
      <c r="AT33" s="33">
        <f>IF($Z33=$Z35,$V37,0)</f>
        <v>0</v>
      </c>
      <c r="AU33" s="33">
        <f>SUM(AQ33:AT33)</f>
        <v>0</v>
      </c>
      <c r="AV33" s="5">
        <v>3</v>
      </c>
      <c r="AW33" s="40">
        <f>SUM(T32:T35)</f>
        <v>1</v>
      </c>
    </row>
    <row r="34" spans="2:49" ht="12.75">
      <c r="B34" s="6">
        <v>35227.854166666664</v>
      </c>
      <c r="C34" s="4" t="s">
        <v>75</v>
      </c>
      <c r="D34" s="22" t="str">
        <f>Y34</f>
        <v>Türkei</v>
      </c>
      <c r="E34" s="18" t="s">
        <v>10</v>
      </c>
      <c r="F34" s="22" t="str">
        <f>Y35</f>
        <v>Kroatien</v>
      </c>
      <c r="G34" s="20"/>
      <c r="H34" s="42">
        <v>0</v>
      </c>
      <c r="I34" s="34" t="s">
        <v>11</v>
      </c>
      <c r="J34" s="41">
        <v>1</v>
      </c>
      <c r="K34" s="7" t="s">
        <v>12</v>
      </c>
      <c r="L34" s="1"/>
      <c r="M34" s="27" t="str">
        <f>VLOOKUP(3,$X$32:$AC$35,2,FALSE)</f>
        <v>Dänemark</v>
      </c>
      <c r="N34" s="2">
        <f>VLOOKUP(3,$X$32:$AC$35,3,FALSE)</f>
        <v>4</v>
      </c>
      <c r="O34" s="2">
        <f>VLOOKUP(3,$X$32:$AC$35,4,FALSE)</f>
        <v>4</v>
      </c>
      <c r="P34" s="2">
        <f>VLOOKUP(3,$X$32:$AC$35,5,FALSE)</f>
        <v>4</v>
      </c>
      <c r="Q34" s="2">
        <f>VLOOKUP(3,$X$32:$AC$35,6,FALSE)</f>
        <v>0</v>
      </c>
      <c r="S34" s="29">
        <f>IF(H37="",0,IF(K37=$B$58,IF(J37&lt;H37,3,IF(J37=H37,1,0)),0))</f>
        <v>0</v>
      </c>
      <c r="T34" s="29">
        <f>IF(J35="",0,IF(K36=$B$58,IF(H35&lt;J35,3,IF(H35=J35,1,0)),0))</f>
        <v>0</v>
      </c>
      <c r="U34" s="28"/>
      <c r="V34" s="29">
        <f>IF(H34="",0,IF(K34=$B$58,IF(H34&gt;J34,3,IF(H34=J34,1,0)),0))</f>
        <v>0</v>
      </c>
      <c r="X34" s="30">
        <f>RANK(AD34,$AD$32:$AD$35)</f>
        <v>4</v>
      </c>
      <c r="Y34" s="31" t="s">
        <v>66</v>
      </c>
      <c r="Z34" s="30">
        <f>SUM(S34:V34)</f>
        <v>0</v>
      </c>
      <c r="AA34" s="30">
        <f>SUM(S38:V38)</f>
        <v>0</v>
      </c>
      <c r="AB34" s="30">
        <f>SUM(U36:U39)</f>
        <v>5</v>
      </c>
      <c r="AC34" s="30">
        <f>AA34-AB34</f>
        <v>-5</v>
      </c>
      <c r="AD34" s="32">
        <f>IF(P$38="",AE34*10000000000000000+Z34*100000000000000+AC34*1000000000000+AA34*10000000000+AK34*100000000+AJ34*1000000+AP34*10000+AU34*100+AV34,AE34*10000000000000000+Z34*100000000000000+AK34*1000000000000+AJ34*10000000000+AP34*100000000+AU34*1000000+AC34*10000+AA34*100+AV34)</f>
        <v>-49998</v>
      </c>
      <c r="AE34" s="5"/>
      <c r="AF34" s="33">
        <f>IF($Z34=$Z32,$S34-$U32,0)</f>
        <v>0</v>
      </c>
      <c r="AG34" s="33">
        <f>IF($Z34=$Z33,$T34-$U33,0)</f>
        <v>0</v>
      </c>
      <c r="AH34" s="33"/>
      <c r="AI34" s="33">
        <f>IF($Z34=$Z35,$V34-$U35,0)</f>
        <v>0</v>
      </c>
      <c r="AJ34" s="33">
        <f>SUM(AF34:AI34)</f>
        <v>0</v>
      </c>
      <c r="AK34" s="5"/>
      <c r="AL34" s="33">
        <f>IF($Z34=$Z32,$S38-$U36,0)</f>
        <v>0</v>
      </c>
      <c r="AM34" s="33">
        <f>IF($Z34=$Z33,$T38-$U37,0)</f>
        <v>0</v>
      </c>
      <c r="AN34" s="33"/>
      <c r="AO34" s="33">
        <f>IF($Z34=$Z35,$V38-$U39,0)</f>
        <v>0</v>
      </c>
      <c r="AP34" s="33">
        <f>SUM(AL34:AO34)</f>
        <v>0</v>
      </c>
      <c r="AQ34" s="33">
        <f>IF($Z34=$Z32,$S38,0)</f>
        <v>0</v>
      </c>
      <c r="AR34" s="33">
        <f>IF($Z34=$Z33,$T38,0)</f>
        <v>0</v>
      </c>
      <c r="AS34" s="33"/>
      <c r="AT34" s="33">
        <f>IF($Z34=$Z35,$V38,0)</f>
        <v>0</v>
      </c>
      <c r="AU34" s="33">
        <f>SUM(AQ34:AT34)</f>
        <v>0</v>
      </c>
      <c r="AV34" s="5">
        <v>2</v>
      </c>
      <c r="AW34" s="40">
        <f>SUM(U32:U35)</f>
        <v>9</v>
      </c>
    </row>
    <row r="35" spans="2:49" ht="12.75">
      <c r="B35" s="6">
        <v>35230.729166666664</v>
      </c>
      <c r="C35" s="4" t="s">
        <v>75</v>
      </c>
      <c r="D35" s="22" t="str">
        <f>Y33</f>
        <v>Portugal</v>
      </c>
      <c r="E35" s="18" t="s">
        <v>10</v>
      </c>
      <c r="F35" s="22" t="str">
        <f>Y34</f>
        <v>Türkei</v>
      </c>
      <c r="H35" s="42">
        <v>1</v>
      </c>
      <c r="I35" s="34" t="s">
        <v>11</v>
      </c>
      <c r="J35" s="42">
        <v>0</v>
      </c>
      <c r="K35" s="7" t="s">
        <v>12</v>
      </c>
      <c r="L35" s="1"/>
      <c r="M35" s="27" t="str">
        <f>VLOOKUP(4,$X$32:$AC$35,2,FALSE)</f>
        <v>Türkei</v>
      </c>
      <c r="N35" s="2">
        <f>VLOOKUP(4,$X$32:$AC$35,3,FALSE)</f>
        <v>0</v>
      </c>
      <c r="O35" s="2">
        <f>VLOOKUP(4,$X$32:$AC$35,4,FALSE)</f>
        <v>0</v>
      </c>
      <c r="P35" s="2">
        <f>VLOOKUP(4,$X$32:$AC$35,5,FALSE)</f>
        <v>5</v>
      </c>
      <c r="Q35" s="2">
        <f>VLOOKUP(4,$X$32:$AC$35,6,FALSE)</f>
        <v>-5</v>
      </c>
      <c r="S35" s="29">
        <f>IF(H36="",0,IF(K35=$B$58,IF(H36&gt;J36,3,IF(H36=J36,1,0)),0))</f>
        <v>3</v>
      </c>
      <c r="T35" s="29">
        <f>IF(H38="",0,IF(K38=$B$58,IF(J38&lt;H38,3,IF(J38=H38,1,0)),0))</f>
        <v>0</v>
      </c>
      <c r="U35" s="29">
        <f>IF(J34="",0,IF(K34=$B$58,IF(H34&lt;J34,3,IF(H34=J34,1,0)),0))</f>
        <v>3</v>
      </c>
      <c r="V35" s="28"/>
      <c r="X35" s="30">
        <f>RANK(AD35,$AD$32:$AD$35)</f>
        <v>2</v>
      </c>
      <c r="Y35" s="31" t="s">
        <v>67</v>
      </c>
      <c r="Z35" s="30">
        <f>SUM(S35:V35)</f>
        <v>6</v>
      </c>
      <c r="AA35" s="30">
        <f>SUM(S39:V39)</f>
        <v>4</v>
      </c>
      <c r="AB35" s="30">
        <f>SUM(V36:V39)</f>
        <v>3</v>
      </c>
      <c r="AC35" s="30">
        <f>AA35-AB35</f>
        <v>1</v>
      </c>
      <c r="AD35" s="32">
        <f>IF(P$38="",AE35*10000000000000000+Z35*100000000000000+AC35*1000000000000+AA35*10000000000+AK35*100000000+AJ35*1000000+AP35*10000+AU35*100+AV35,AE35*10000000000000000+Z35*100000000000000+AK35*1000000000000+AJ35*10000000000+AP35*100000000+AU35*1000000+AC35*10000+AA35*100+AV35)</f>
        <v>600000000010401</v>
      </c>
      <c r="AE35" s="5"/>
      <c r="AF35" s="33">
        <f>IF($Z35=$Z32,$S35-$V32,0)</f>
        <v>0</v>
      </c>
      <c r="AG35" s="33">
        <f>IF($Z35=$Z33,$T35-$V33,0)</f>
        <v>0</v>
      </c>
      <c r="AH35" s="33">
        <f>IF($Z35=$Z34,$U35-$V34,0)</f>
        <v>0</v>
      </c>
      <c r="AI35" s="33"/>
      <c r="AJ35" s="33">
        <f>SUM(AF35:AI35)</f>
        <v>0</v>
      </c>
      <c r="AK35" s="5"/>
      <c r="AL35" s="33">
        <f>IF($Z35=$Z32,$S39-$V36,0)</f>
        <v>0</v>
      </c>
      <c r="AM35" s="33">
        <f>IF($Z35=$Z33,$T39-$V37,0)</f>
        <v>0</v>
      </c>
      <c r="AN35" s="33">
        <f>IF($Z35=$Z34,$U39-$V38,0)</f>
        <v>0</v>
      </c>
      <c r="AO35" s="33"/>
      <c r="AP35" s="33">
        <f>SUM(AL35:AO35)</f>
        <v>0</v>
      </c>
      <c r="AQ35" s="33">
        <f>IF($Z35=$Z32,$S39,0)</f>
        <v>0</v>
      </c>
      <c r="AR35" s="33">
        <f>IF($Z35=$Z33,$T39,0)</f>
        <v>0</v>
      </c>
      <c r="AS35" s="33">
        <f>IF($Z35=$Z34,$U39,0)</f>
        <v>0</v>
      </c>
      <c r="AT35" s="33"/>
      <c r="AU35" s="33">
        <f>SUM(AQ35:AT35)</f>
        <v>0</v>
      </c>
      <c r="AV35" s="5">
        <v>1</v>
      </c>
      <c r="AW35" s="40">
        <f>SUM(V32:V35)</f>
        <v>3</v>
      </c>
    </row>
    <row r="36" spans="2:49" ht="12.75">
      <c r="B36" s="6">
        <v>35232.791666666664</v>
      </c>
      <c r="C36" s="4" t="s">
        <v>74</v>
      </c>
      <c r="D36" s="22" t="str">
        <f>Y35</f>
        <v>Kroatien</v>
      </c>
      <c r="E36" s="18" t="s">
        <v>10</v>
      </c>
      <c r="F36" s="22" t="str">
        <f>Y32</f>
        <v>Dänemark</v>
      </c>
      <c r="G36" s="20"/>
      <c r="H36" s="41">
        <v>3</v>
      </c>
      <c r="I36" s="34" t="s">
        <v>11</v>
      </c>
      <c r="J36" s="42">
        <v>0</v>
      </c>
      <c r="K36" s="7" t="s">
        <v>12</v>
      </c>
      <c r="L36" s="1"/>
      <c r="N36" s="1"/>
      <c r="O36" s="1"/>
      <c r="S36" s="28"/>
      <c r="T36" s="29">
        <f>IF(K33=$B$58,H33,0)</f>
        <v>1</v>
      </c>
      <c r="U36" s="29">
        <f>IF(K37=$B$58,J37,0)</f>
        <v>3</v>
      </c>
      <c r="V36" s="29">
        <f>IF(K35=$B$58,J36,0)</f>
        <v>0</v>
      </c>
      <c r="X36" s="30"/>
      <c r="Y36" s="30"/>
      <c r="Z36" s="30"/>
      <c r="AA36" s="30"/>
      <c r="AB36" s="30"/>
      <c r="AC36" s="30"/>
      <c r="AD36" s="35"/>
      <c r="AE36" s="7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V36" s="33"/>
      <c r="AW36" s="40"/>
    </row>
    <row r="37" spans="2:49" ht="12.75">
      <c r="B37" s="6">
        <v>35235.729166666664</v>
      </c>
      <c r="C37" s="4" t="s">
        <v>74</v>
      </c>
      <c r="D37" s="22" t="str">
        <f>Y34</f>
        <v>Türkei</v>
      </c>
      <c r="E37" s="18" t="s">
        <v>10</v>
      </c>
      <c r="F37" s="22" t="str">
        <f>Y32</f>
        <v>Dänemark</v>
      </c>
      <c r="H37" s="41">
        <v>0</v>
      </c>
      <c r="I37" s="34" t="s">
        <v>11</v>
      </c>
      <c r="J37" s="42">
        <v>3</v>
      </c>
      <c r="K37" s="7" t="s">
        <v>12</v>
      </c>
      <c r="M37" s="70" t="str">
        <f>IF(N32&gt;0,M32,"")</f>
        <v>Portugal</v>
      </c>
      <c r="N37" s="2" t="s">
        <v>51</v>
      </c>
      <c r="P37" s="43"/>
      <c r="S37" s="29">
        <f>IF(K33=$B$58,J33,0)</f>
        <v>1</v>
      </c>
      <c r="T37" s="28"/>
      <c r="U37" s="29">
        <f>IF(K36=$B$58,H35,0)</f>
        <v>1</v>
      </c>
      <c r="V37" s="29">
        <f>IF(K38=$B$58,J38,0)</f>
        <v>3</v>
      </c>
      <c r="AD37" s="25" t="s">
        <v>28</v>
      </c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V37" s="23"/>
      <c r="AW37" s="40"/>
    </row>
    <row r="38" spans="2:49" ht="12.75">
      <c r="B38" s="6">
        <v>35235.729166666664</v>
      </c>
      <c r="C38" s="4" t="s">
        <v>75</v>
      </c>
      <c r="D38" s="22" t="str">
        <f>Y35</f>
        <v>Kroatien</v>
      </c>
      <c r="E38" s="18" t="s">
        <v>10</v>
      </c>
      <c r="F38" s="22" t="str">
        <f>Y33</f>
        <v>Portugal</v>
      </c>
      <c r="G38" s="25"/>
      <c r="H38" s="41">
        <v>0</v>
      </c>
      <c r="I38" s="34" t="s">
        <v>11</v>
      </c>
      <c r="J38" s="42">
        <v>3</v>
      </c>
      <c r="K38" s="7" t="s">
        <v>12</v>
      </c>
      <c r="M38" s="70" t="str">
        <f>IF(N33&gt;0,M33,"")</f>
        <v>Kroatien</v>
      </c>
      <c r="N38" s="2" t="s">
        <v>52</v>
      </c>
      <c r="P38" s="45" t="s">
        <v>76</v>
      </c>
      <c r="S38" s="29">
        <f>IF(K37=$B$58,H37,0)</f>
        <v>0</v>
      </c>
      <c r="T38" s="29">
        <f>IF(K36=$B$58,J35,0)</f>
        <v>0</v>
      </c>
      <c r="U38" s="28"/>
      <c r="V38" s="29">
        <f>IF(K34=$B$58,H34,0)</f>
        <v>0</v>
      </c>
      <c r="AD38" s="25" t="s">
        <v>29</v>
      </c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V38" s="23"/>
      <c r="AW38" s="40"/>
    </row>
    <row r="39" spans="14:49" ht="12.75">
      <c r="N39" s="1"/>
      <c r="S39" s="29">
        <f>IF(K35=$B$58,H36,0)</f>
        <v>3</v>
      </c>
      <c r="T39" s="29">
        <f>IF(K38=$B$58,H38,0)</f>
        <v>0</v>
      </c>
      <c r="U39" s="29">
        <f>IF(K34=$B$58,J34,0)</f>
        <v>1</v>
      </c>
      <c r="V39" s="28"/>
      <c r="AD39" s="25" t="s">
        <v>30</v>
      </c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3"/>
      <c r="AS39" s="23"/>
      <c r="AT39" s="23"/>
      <c r="AV39" s="23"/>
      <c r="AW39" s="40"/>
    </row>
    <row r="40" spans="4:49" ht="6" customHeight="1">
      <c r="D40" s="25"/>
      <c r="E40" s="26"/>
      <c r="F40" s="21"/>
      <c r="G40" s="21"/>
      <c r="H40" s="25"/>
      <c r="I40" s="25"/>
      <c r="J40" s="25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V40" s="23"/>
      <c r="AW40" s="40"/>
    </row>
    <row r="41" spans="2:42" ht="12.75">
      <c r="B41" s="71" t="s">
        <v>53</v>
      </c>
      <c r="C41" s="11"/>
      <c r="E41" s="52"/>
      <c r="G41" s="10"/>
      <c r="H41" s="13"/>
      <c r="I41" s="12"/>
      <c r="K41" s="47"/>
      <c r="L41" s="10"/>
      <c r="M41" s="11"/>
      <c r="O41" s="10"/>
      <c r="P41" s="10"/>
      <c r="Q41" s="1"/>
      <c r="R41" s="1"/>
      <c r="S41" s="30"/>
      <c r="T41" s="30"/>
      <c r="U41" s="30"/>
      <c r="V41" s="30"/>
      <c r="W41" s="20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/>
    </row>
    <row r="42" spans="2:41" ht="12.75">
      <c r="B42" s="6">
        <v>35239.8125</v>
      </c>
      <c r="C42" s="4" t="s">
        <v>69</v>
      </c>
      <c r="D42" s="68" t="str">
        <f>M28</f>
        <v>Tschechien</v>
      </c>
      <c r="E42" s="16" t="s">
        <v>10</v>
      </c>
      <c r="F42" s="70" t="str">
        <f>M37</f>
        <v>Portugal</v>
      </c>
      <c r="H42" s="41">
        <v>1</v>
      </c>
      <c r="I42" s="13" t="s">
        <v>11</v>
      </c>
      <c r="J42" s="41">
        <v>0</v>
      </c>
      <c r="K42" s="7" t="s">
        <v>12</v>
      </c>
      <c r="L42" s="1"/>
      <c r="M42" s="73" t="str">
        <f>IF(H42="","",IF(H42=J42,"falsch!!! K.Remis",IF(J42&gt;H42,F42,D42)))</f>
        <v>Tschechien</v>
      </c>
      <c r="N42" s="1" t="str">
        <f>N28</f>
        <v>2C</v>
      </c>
      <c r="O42" s="1" t="str">
        <f>N37</f>
        <v>1D</v>
      </c>
      <c r="P42" s="2" t="s">
        <v>54</v>
      </c>
      <c r="R42" s="1"/>
      <c r="S42" s="30"/>
      <c r="T42" s="30"/>
      <c r="U42" s="30"/>
      <c r="V42" s="30"/>
      <c r="W42" s="30"/>
      <c r="X42" s="30"/>
      <c r="Y42" s="31"/>
      <c r="Z42" s="30"/>
      <c r="AA42" s="30"/>
      <c r="AB42" s="30"/>
      <c r="AC42" s="30"/>
      <c r="AD42" s="30"/>
      <c r="AE42" s="74"/>
      <c r="AF42" s="7"/>
      <c r="AG42" s="1"/>
      <c r="AH42" s="1"/>
      <c r="AO42" s="1"/>
    </row>
    <row r="43" spans="2:32" ht="12.75">
      <c r="B43" s="6">
        <v>35238.8125</v>
      </c>
      <c r="C43" s="4" t="s">
        <v>73</v>
      </c>
      <c r="D43" s="65" t="str">
        <f>M17</f>
        <v>Frankreich</v>
      </c>
      <c r="E43" s="18" t="s">
        <v>10</v>
      </c>
      <c r="F43" s="62" t="str">
        <f>M8</f>
        <v>Niederlande</v>
      </c>
      <c r="H43" s="41">
        <v>5</v>
      </c>
      <c r="I43" s="13" t="s">
        <v>11</v>
      </c>
      <c r="J43" s="41">
        <v>4</v>
      </c>
      <c r="K43" s="7" t="s">
        <v>12</v>
      </c>
      <c r="L43" s="1"/>
      <c r="M43" s="75" t="str">
        <f>IF(J43="","",IF(J43=H43,"falsch!!! K.Remis",IF(H43&gt;J43,D43,F43)))</f>
        <v>Frankreich</v>
      </c>
      <c r="N43" s="1" t="str">
        <f>N17</f>
        <v>1B</v>
      </c>
      <c r="O43" s="1" t="str">
        <f>N8</f>
        <v>2A</v>
      </c>
      <c r="P43" s="2" t="s">
        <v>55</v>
      </c>
      <c r="R43" s="1"/>
      <c r="W43" s="30"/>
      <c r="AE43" s="3"/>
      <c r="AF43" s="8"/>
    </row>
    <row r="44" spans="2:41" ht="12.75">
      <c r="B44" s="6">
        <v>35239.666666666664</v>
      </c>
      <c r="C44" s="4" t="s">
        <v>72</v>
      </c>
      <c r="D44" s="70" t="str">
        <f>M38</f>
        <v>Kroatien</v>
      </c>
      <c r="E44" s="18" t="s">
        <v>10</v>
      </c>
      <c r="F44" s="68" t="str">
        <f>M27</f>
        <v>Deutschland</v>
      </c>
      <c r="H44" s="42">
        <v>1</v>
      </c>
      <c r="I44" s="13" t="s">
        <v>11</v>
      </c>
      <c r="J44" s="41">
        <v>2</v>
      </c>
      <c r="K44" s="7" t="s">
        <v>12</v>
      </c>
      <c r="L44" s="1"/>
      <c r="M44" s="76" t="str">
        <f>IF(H44="","",IF(H44=J44,"falsch!!! K.Remis",IF(J44&gt;H44,F44,D44)))</f>
        <v>Deutschland</v>
      </c>
      <c r="N44" s="1" t="str">
        <f>N38</f>
        <v>2D</v>
      </c>
      <c r="O44" s="1" t="str">
        <f>N27</f>
        <v>1C</v>
      </c>
      <c r="P44" s="1" t="s">
        <v>56</v>
      </c>
      <c r="R44" s="1"/>
      <c r="S44" s="30"/>
      <c r="T44" s="30"/>
      <c r="U44" s="30"/>
      <c r="V44" s="30"/>
      <c r="W44" s="30"/>
      <c r="AE44" s="1"/>
      <c r="AF44" s="7"/>
      <c r="AG44" s="1"/>
      <c r="AH44" s="1"/>
      <c r="AO44" s="1"/>
    </row>
    <row r="45" spans="1:41" ht="12.75">
      <c r="A45" s="77"/>
      <c r="B45" s="6">
        <v>35238.666666666664</v>
      </c>
      <c r="C45" s="4" t="s">
        <v>68</v>
      </c>
      <c r="D45" s="62" t="str">
        <f>M7</f>
        <v>England</v>
      </c>
      <c r="E45" s="16" t="s">
        <v>10</v>
      </c>
      <c r="F45" s="65" t="str">
        <f>M18</f>
        <v>Spanien</v>
      </c>
      <c r="H45" s="42">
        <v>4</v>
      </c>
      <c r="I45" s="13" t="s">
        <v>11</v>
      </c>
      <c r="J45" s="41">
        <v>2</v>
      </c>
      <c r="K45" s="7" t="s">
        <v>12</v>
      </c>
      <c r="L45" s="1"/>
      <c r="M45" s="78" t="str">
        <f>IF(H45="","",IF(H45=J45,"falsch!!! K.Remis",IF(J45&gt;H45,F45,D45)))</f>
        <v>England</v>
      </c>
      <c r="N45" s="1" t="str">
        <f>N7</f>
        <v>1A</v>
      </c>
      <c r="O45" s="1" t="str">
        <f>N18</f>
        <v>2B</v>
      </c>
      <c r="P45" s="1" t="s">
        <v>57</v>
      </c>
      <c r="R45" s="1"/>
      <c r="S45" s="30"/>
      <c r="T45" s="30"/>
      <c r="U45" s="30"/>
      <c r="V45" s="30"/>
      <c r="W45" s="30"/>
      <c r="AE45" s="1"/>
      <c r="AF45" s="7"/>
      <c r="AG45" s="1"/>
      <c r="AH45" s="1"/>
      <c r="AO45" s="1"/>
    </row>
    <row r="46" spans="17:31" ht="12.75">
      <c r="Q46" s="1"/>
      <c r="R46" s="1"/>
      <c r="W46" s="30"/>
      <c r="AE46" s="2"/>
    </row>
    <row r="47" spans="2:30" ht="12.75">
      <c r="B47" s="51" t="s">
        <v>34</v>
      </c>
      <c r="C47" s="3"/>
      <c r="D47" s="10"/>
      <c r="E47" s="52"/>
      <c r="F47" s="10"/>
      <c r="G47" s="10"/>
      <c r="H47" s="13"/>
      <c r="I47" s="34"/>
      <c r="J47" s="13"/>
      <c r="K47" s="47"/>
      <c r="L47" s="1"/>
      <c r="M47" s="3"/>
      <c r="N47" s="1"/>
      <c r="O47" s="1"/>
      <c r="P47" s="1"/>
      <c r="Q47" s="1"/>
      <c r="R47" s="1"/>
      <c r="W47" s="30"/>
      <c r="AD47" s="31"/>
    </row>
    <row r="48" spans="2:23" ht="12.75">
      <c r="B48" s="6">
        <v>35242.708333333336</v>
      </c>
      <c r="C48" s="4" t="s">
        <v>72</v>
      </c>
      <c r="D48" s="53" t="str">
        <f>M42</f>
        <v>Tschechien</v>
      </c>
      <c r="E48" s="11" t="s">
        <v>10</v>
      </c>
      <c r="F48" s="79" t="str">
        <f>M43</f>
        <v>Frankreich</v>
      </c>
      <c r="G48" s="10"/>
      <c r="H48" s="41">
        <v>6</v>
      </c>
      <c r="I48" s="13" t="s">
        <v>11</v>
      </c>
      <c r="J48" s="41">
        <v>5</v>
      </c>
      <c r="K48" s="7" t="s">
        <v>12</v>
      </c>
      <c r="L48" s="1"/>
      <c r="M48" s="55" t="str">
        <f>IF(J48="","",IF(J48=H48,"falsch!!! K.Remis",IF(H48&gt;J48,D48,F48)))</f>
        <v>Tschechien</v>
      </c>
      <c r="N48" s="1" t="str">
        <f>P42</f>
        <v>VF1</v>
      </c>
      <c r="O48" s="1" t="str">
        <f>P43</f>
        <v>VF2</v>
      </c>
      <c r="P48" s="1" t="s">
        <v>35</v>
      </c>
      <c r="Q48" s="1"/>
      <c r="R48" s="1"/>
      <c r="W48" s="30"/>
    </row>
    <row r="49" spans="2:23" ht="12.75">
      <c r="B49" s="6">
        <v>35242.854166666664</v>
      </c>
      <c r="C49" s="4" t="s">
        <v>68</v>
      </c>
      <c r="D49" s="80" t="str">
        <f>M45</f>
        <v>England</v>
      </c>
      <c r="E49" s="11" t="s">
        <v>10</v>
      </c>
      <c r="F49" s="54" t="str">
        <f>M44</f>
        <v>Deutschland</v>
      </c>
      <c r="G49" s="10"/>
      <c r="H49" s="41">
        <v>5</v>
      </c>
      <c r="I49" s="13" t="s">
        <v>11</v>
      </c>
      <c r="J49" s="41">
        <v>6</v>
      </c>
      <c r="K49" s="7" t="s">
        <v>12</v>
      </c>
      <c r="L49" s="1"/>
      <c r="M49" s="55" t="str">
        <f>IF(H49="","",IF(H49=J49,"falsch!!! K.Remis",IF(J49&gt;H49,F49,D49)))</f>
        <v>Deutschland</v>
      </c>
      <c r="N49" s="1" t="str">
        <f>P45</f>
        <v>VF4</v>
      </c>
      <c r="O49" s="1" t="str">
        <f>P44</f>
        <v>VF3</v>
      </c>
      <c r="P49" s="1" t="s">
        <v>36</v>
      </c>
      <c r="Q49" s="1"/>
      <c r="R49" s="1"/>
      <c r="W49" s="30"/>
    </row>
    <row r="50" spans="2:23" ht="12.75">
      <c r="B50" s="1"/>
      <c r="C50" s="3"/>
      <c r="E50" s="52"/>
      <c r="F50" s="10"/>
      <c r="G50" s="10"/>
      <c r="H50" s="13"/>
      <c r="I50" s="34"/>
      <c r="K50" s="47"/>
      <c r="L50" s="1"/>
      <c r="M50" s="56" t="str">
        <f>IF(J48="","",IF(D48=M48,F48,D48))</f>
        <v>Frankreich</v>
      </c>
      <c r="N50" s="1"/>
      <c r="P50" s="1" t="s">
        <v>37</v>
      </c>
      <c r="Q50" s="1"/>
      <c r="R50" s="1"/>
      <c r="W50" s="30"/>
    </row>
    <row r="51" spans="3:23" ht="12.75">
      <c r="C51" s="3"/>
      <c r="D51" s="15"/>
      <c r="E51" s="17"/>
      <c r="F51" s="15"/>
      <c r="G51" s="15"/>
      <c r="H51" s="57"/>
      <c r="J51" s="57"/>
      <c r="K51" s="47"/>
      <c r="M51" s="56" t="str">
        <f>IF(H49="","",IF(F48=M49,F49,D49))</f>
        <v>England</v>
      </c>
      <c r="P51" s="1" t="s">
        <v>38</v>
      </c>
      <c r="Q51" s="1"/>
      <c r="R51" s="1"/>
      <c r="W51" s="30"/>
    </row>
    <row r="52" spans="3:23" ht="12.75">
      <c r="C52" s="3"/>
      <c r="D52" s="15"/>
      <c r="E52" s="17"/>
      <c r="F52" s="15"/>
      <c r="G52" s="15"/>
      <c r="H52" s="57"/>
      <c r="J52" s="57"/>
      <c r="K52" s="47"/>
      <c r="P52" s="1"/>
      <c r="Q52" s="1"/>
      <c r="R52" s="1"/>
      <c r="W52" s="30"/>
    </row>
    <row r="53" spans="2:13" ht="12.75">
      <c r="B53" s="48" t="s">
        <v>33</v>
      </c>
      <c r="C53" s="4"/>
      <c r="D53" s="21"/>
      <c r="E53" s="26"/>
      <c r="F53" s="21"/>
      <c r="G53" s="21"/>
      <c r="H53" s="49"/>
      <c r="J53" s="49"/>
      <c r="K53" s="47"/>
      <c r="M53" s="2" t="s">
        <v>77</v>
      </c>
    </row>
    <row r="54" spans="2:15" ht="12.75">
      <c r="B54" s="6">
        <v>35246.833333333336</v>
      </c>
      <c r="C54" s="4" t="s">
        <v>68</v>
      </c>
      <c r="D54" s="37" t="str">
        <f>M48</f>
        <v>Tschechien</v>
      </c>
      <c r="E54" s="11" t="s">
        <v>10</v>
      </c>
      <c r="F54" s="37" t="str">
        <f>M49</f>
        <v>Deutschland</v>
      </c>
      <c r="G54" s="20"/>
      <c r="H54" s="42">
        <v>1</v>
      </c>
      <c r="I54" s="13" t="s">
        <v>11</v>
      </c>
      <c r="J54" s="42">
        <v>2</v>
      </c>
      <c r="K54" s="7" t="s">
        <v>12</v>
      </c>
      <c r="L54" s="1"/>
      <c r="M54" s="50" t="str">
        <f>IF(J54="","",IF(J54=H54,"falsch!!! K.Remis",IF(H54&gt;J54,D54,F54)))</f>
        <v>Deutschland</v>
      </c>
      <c r="N54" s="1" t="str">
        <f>P48</f>
        <v>F1</v>
      </c>
      <c r="O54" s="1" t="str">
        <f>P49</f>
        <v>F2</v>
      </c>
    </row>
    <row r="55" spans="3:16" ht="12.75">
      <c r="C55" s="81">
        <v>73611</v>
      </c>
      <c r="H55" s="2"/>
      <c r="J55" s="2"/>
      <c r="P55" s="1"/>
    </row>
    <row r="57" spans="2:6" ht="13.5" thickBot="1">
      <c r="B57" s="46"/>
      <c r="C57" s="3"/>
      <c r="D57" s="3"/>
      <c r="E57" s="3"/>
      <c r="F57" s="3"/>
    </row>
    <row r="58" spans="2:8" ht="14.25" thickBot="1" thickTop="1">
      <c r="B58" s="19" t="s">
        <v>12</v>
      </c>
      <c r="C58" s="1" t="s">
        <v>17</v>
      </c>
      <c r="D58" s="3"/>
      <c r="E58" s="3"/>
      <c r="F58" s="3"/>
      <c r="H58" s="38"/>
    </row>
    <row r="59" ht="13.5" thickTop="1"/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alfware Bernd Schubert</cp:lastModifiedBy>
  <cp:lastPrinted>2006-05-21T10:46:31Z</cp:lastPrinted>
  <dcterms:created xsi:type="dcterms:W3CDTF">2000-06-07T05:43:06Z</dcterms:created>
  <dcterms:modified xsi:type="dcterms:W3CDTF">2015-12-29T11:32:34Z</dcterms:modified>
  <cp:category/>
  <cp:version/>
  <cp:contentType/>
  <cp:contentStatus/>
</cp:coreProperties>
</file>